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New folder\"/>
    </mc:Choice>
  </mc:AlternateContent>
  <xr:revisionPtr revIDLastSave="0" documentId="8_{73F21DD5-C572-4DEC-91BE-097BBB9A958E}" xr6:coauthVersionLast="47" xr6:coauthVersionMax="47" xr10:uidLastSave="{00000000-0000-0000-0000-000000000000}"/>
  <bookViews>
    <workbookView xWindow="0" yWindow="0" windowWidth="23040" windowHeight="9384" xr2:uid="{00000000-000D-0000-FFFF-FFFF00000000}"/>
  </bookViews>
  <sheets>
    <sheet name="Cash Flows - Past" sheetId="1" r:id="rId1"/>
    <sheet name="Cover Page" sheetId="5" r:id="rId2"/>
    <sheet name="Budget Estimates" sheetId="2" r:id="rId3"/>
    <sheet name=" Notes 1" sheetId="3" r:id="rId4"/>
    <sheet name="Notes 2" sheetId="4" r:id="rId5"/>
    <sheet name="Loan" sheetId="6" r:id="rId6"/>
    <sheet name="Sheet1" sheetId="7" r:id="rId7"/>
  </sheets>
  <externalReferences>
    <externalReference r:id="rId8"/>
  </externalReferences>
  <definedNames>
    <definedName name="_xlnm.Print_Area" localSheetId="3">' Notes 1'!$B$2:$G$58</definedName>
    <definedName name="_xlnm.Print_Area" localSheetId="2">'Budget Estimates'!$B$2:$G$49</definedName>
    <definedName name="_xlnm.Print_Area" localSheetId="0">'Cash Flows - Past'!$B$2:$N$54</definedName>
    <definedName name="_xlnm.Print_Area" localSheetId="1">'Cover Page'!$A$1:$D$30</definedName>
    <definedName name="_xlnm.Print_Area" localSheetId="4">'Notes 2'!$B$2:$G$62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6" l="1"/>
  <c r="D39" i="2"/>
  <c r="J47" i="4"/>
  <c r="J46" i="4"/>
  <c r="G48" i="4"/>
  <c r="D47" i="4"/>
  <c r="D46" i="4"/>
  <c r="E46" i="4" s="1"/>
  <c r="F46" i="4" s="1"/>
  <c r="D46" i="2"/>
  <c r="J49" i="4" l="1"/>
  <c r="J51" i="4" s="1"/>
  <c r="D49" i="4"/>
  <c r="D51" i="4" s="1"/>
  <c r="D52" i="4" s="1"/>
  <c r="D55" i="4" s="1"/>
  <c r="G46" i="4"/>
  <c r="E47" i="4"/>
  <c r="F47" i="4" s="1"/>
  <c r="G47" i="4" s="1"/>
  <c r="J52" i="4" l="1"/>
  <c r="J55" i="4" s="1"/>
  <c r="J58" i="4" s="1"/>
  <c r="D60" i="4"/>
  <c r="D61" i="4"/>
  <c r="D58" i="4"/>
  <c r="E49" i="4"/>
  <c r="E51" i="4" s="1"/>
  <c r="E52" i="4" s="1"/>
  <c r="E55" i="4" s="1"/>
  <c r="G49" i="4"/>
  <c r="G51" i="4" s="1"/>
  <c r="G52" i="4" s="1"/>
  <c r="G55" i="4" s="1"/>
  <c r="F49" i="4"/>
  <c r="F51" i="4" s="1"/>
  <c r="F52" i="4" s="1"/>
  <c r="F55" i="4" s="1"/>
  <c r="J60" i="4" l="1"/>
  <c r="J61" i="4" s="1"/>
  <c r="J62" i="4"/>
  <c r="E60" i="4"/>
  <c r="E61" i="4"/>
  <c r="F60" i="4"/>
  <c r="F61" i="4"/>
  <c r="G60" i="4"/>
  <c r="G61" i="4"/>
  <c r="E57" i="4"/>
  <c r="E58" i="4" s="1"/>
  <c r="D62" i="4"/>
  <c r="D39" i="3" s="1"/>
  <c r="G24" i="4"/>
  <c r="G25" i="4" s="1"/>
  <c r="F24" i="4"/>
  <c r="E24" i="4"/>
  <c r="D31" i="4"/>
  <c r="G32" i="4"/>
  <c r="G16" i="4"/>
  <c r="G17" i="4" s="1"/>
  <c r="G41" i="2" s="1"/>
  <c r="F16" i="4"/>
  <c r="E16" i="4"/>
  <c r="E15" i="4"/>
  <c r="E14" i="4"/>
  <c r="D16" i="4"/>
  <c r="D15" i="4"/>
  <c r="D14" i="4"/>
  <c r="D13" i="4"/>
  <c r="M64" i="6"/>
  <c r="N64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M49" i="6"/>
  <c r="N49" i="6"/>
  <c r="M50" i="6"/>
  <c r="N50" i="6"/>
  <c r="M51" i="6"/>
  <c r="N51" i="6"/>
  <c r="M52" i="6"/>
  <c r="N52" i="6"/>
  <c r="M53" i="6"/>
  <c r="N53" i="6"/>
  <c r="M54" i="6"/>
  <c r="N54" i="6"/>
  <c r="M55" i="6"/>
  <c r="N55" i="6"/>
  <c r="M56" i="6"/>
  <c r="N56" i="6"/>
  <c r="M57" i="6"/>
  <c r="N57" i="6"/>
  <c r="M58" i="6"/>
  <c r="N58" i="6"/>
  <c r="M59" i="6"/>
  <c r="N59" i="6"/>
  <c r="M60" i="6"/>
  <c r="N60" i="6"/>
  <c r="M61" i="6"/>
  <c r="N61" i="6"/>
  <c r="M62" i="6"/>
  <c r="N62" i="6"/>
  <c r="M63" i="6"/>
  <c r="N63" i="6"/>
  <c r="N5" i="6"/>
  <c r="M5" i="6"/>
  <c r="D7" i="6"/>
  <c r="M7" i="6" s="1"/>
  <c r="D8" i="6"/>
  <c r="M8" i="6" s="1"/>
  <c r="D9" i="6"/>
  <c r="M9" i="6" s="1"/>
  <c r="D10" i="6"/>
  <c r="D11" i="6"/>
  <c r="D12" i="6"/>
  <c r="D13" i="6"/>
  <c r="D14" i="6"/>
  <c r="D15" i="6"/>
  <c r="D16" i="6"/>
  <c r="D17" i="6"/>
  <c r="D28" i="4" s="1"/>
  <c r="D6" i="6"/>
  <c r="M6" i="6" s="1"/>
  <c r="F11" i="6"/>
  <c r="M11" i="6" s="1"/>
  <c r="M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10" i="6"/>
  <c r="M10" i="6" s="1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M40" i="6" s="1"/>
  <c r="H41" i="6"/>
  <c r="H42" i="6"/>
  <c r="M42" i="6" s="1"/>
  <c r="H43" i="6"/>
  <c r="M43" i="6" s="1"/>
  <c r="H44" i="6"/>
  <c r="M44" i="6" s="1"/>
  <c r="H45" i="6"/>
  <c r="M45" i="6" s="1"/>
  <c r="H46" i="6"/>
  <c r="M46" i="6" s="1"/>
  <c r="H47" i="6"/>
  <c r="M47" i="6" s="1"/>
  <c r="H14" i="6"/>
  <c r="H15" i="6"/>
  <c r="H16" i="6"/>
  <c r="H17" i="6"/>
  <c r="D30" i="4" s="1"/>
  <c r="H13" i="6"/>
  <c r="M41" i="6" l="1"/>
  <c r="E23" i="4"/>
  <c r="M39" i="6"/>
  <c r="M38" i="6"/>
  <c r="M37" i="6"/>
  <c r="M36" i="6"/>
  <c r="M35" i="6"/>
  <c r="M34" i="6"/>
  <c r="M33" i="6"/>
  <c r="M32" i="6"/>
  <c r="M31" i="6"/>
  <c r="M30" i="6"/>
  <c r="M29" i="6"/>
  <c r="E22" i="4"/>
  <c r="M28" i="6"/>
  <c r="M27" i="6"/>
  <c r="M26" i="6"/>
  <c r="M25" i="6"/>
  <c r="M24" i="6"/>
  <c r="M23" i="6"/>
  <c r="M22" i="6"/>
  <c r="M21" i="6"/>
  <c r="M20" i="6"/>
  <c r="M19" i="6"/>
  <c r="M18" i="6"/>
  <c r="M17" i="6"/>
  <c r="D29" i="4"/>
  <c r="M15" i="6"/>
  <c r="M14" i="6"/>
  <c r="M13" i="6"/>
  <c r="K39" i="3"/>
  <c r="D30" i="2"/>
  <c r="E62" i="4"/>
  <c r="E39" i="3" s="1"/>
  <c r="E30" i="2" s="1"/>
  <c r="F57" i="4"/>
  <c r="F58" i="4" s="1"/>
  <c r="F62" i="4" s="1"/>
  <c r="F39" i="3" s="1"/>
  <c r="F30" i="2" s="1"/>
  <c r="G34" i="4"/>
  <c r="E17" i="4"/>
  <c r="E41" i="2" s="1"/>
  <c r="D17" i="4"/>
  <c r="D41" i="2" s="1"/>
  <c r="M16" i="6"/>
  <c r="I48" i="6"/>
  <c r="P93" i="1"/>
  <c r="P92" i="1"/>
  <c r="G8" i="4"/>
  <c r="F32" i="4"/>
  <c r="E32" i="4"/>
  <c r="D32" i="4"/>
  <c r="E25" i="4"/>
  <c r="D25" i="4"/>
  <c r="F8" i="4"/>
  <c r="E8" i="4"/>
  <c r="F15" i="4" l="1"/>
  <c r="F17" i="4" s="1"/>
  <c r="F41" i="2" s="1"/>
  <c r="N48" i="6"/>
  <c r="N66" i="6" s="1"/>
  <c r="H48" i="6"/>
  <c r="G40" i="2"/>
  <c r="G42" i="2" s="1"/>
  <c r="G57" i="4"/>
  <c r="G58" i="4" s="1"/>
  <c r="D34" i="4"/>
  <c r="D40" i="2" s="1"/>
  <c r="E34" i="4"/>
  <c r="E40" i="2" s="1"/>
  <c r="N105" i="1"/>
  <c r="N47" i="1" s="1"/>
  <c r="M105" i="1"/>
  <c r="M47" i="1" s="1"/>
  <c r="L105" i="1"/>
  <c r="L47" i="1" s="1"/>
  <c r="K105" i="1"/>
  <c r="K47" i="1" s="1"/>
  <c r="J105" i="1"/>
  <c r="J47" i="1" s="1"/>
  <c r="I105" i="1"/>
  <c r="I47" i="1" s="1"/>
  <c r="H105" i="1"/>
  <c r="H47" i="1" s="1"/>
  <c r="G105" i="1"/>
  <c r="G47" i="1" s="1"/>
  <c r="F105" i="1"/>
  <c r="F47" i="1" s="1"/>
  <c r="E105" i="1"/>
  <c r="E47" i="1" s="1"/>
  <c r="D105" i="1"/>
  <c r="D47" i="1" s="1"/>
  <c r="C105" i="1"/>
  <c r="C47" i="1" s="1"/>
  <c r="N37" i="1"/>
  <c r="M37" i="1"/>
  <c r="L37" i="1"/>
  <c r="K37" i="1"/>
  <c r="J37" i="1"/>
  <c r="I37" i="1"/>
  <c r="H37" i="1"/>
  <c r="F37" i="1"/>
  <c r="E37" i="1"/>
  <c r="D37" i="1"/>
  <c r="C37" i="1"/>
  <c r="G34" i="1"/>
  <c r="G37" i="1" s="1"/>
  <c r="E82" i="1"/>
  <c r="F82" i="1"/>
  <c r="G82" i="1"/>
  <c r="H82" i="1"/>
  <c r="I82" i="1"/>
  <c r="J82" i="1"/>
  <c r="K82" i="1"/>
  <c r="L82" i="1"/>
  <c r="M82" i="1"/>
  <c r="N82" i="1"/>
  <c r="D82" i="1"/>
  <c r="D84" i="1" s="1"/>
  <c r="D86" i="1" s="1"/>
  <c r="C84" i="1"/>
  <c r="C86" i="1" s="1"/>
  <c r="N78" i="1"/>
  <c r="N8" i="1" s="1"/>
  <c r="N79" i="1"/>
  <c r="N83" i="1" s="1"/>
  <c r="N84" i="1" s="1"/>
  <c r="N86" i="1" s="1"/>
  <c r="N9" i="1" s="1"/>
  <c r="M79" i="1"/>
  <c r="M83" i="1" s="1"/>
  <c r="M78" i="1"/>
  <c r="M8" i="1" s="1"/>
  <c r="L78" i="1"/>
  <c r="L8" i="1" s="1"/>
  <c r="L79" i="1"/>
  <c r="L83" i="1" s="1"/>
  <c r="K79" i="1"/>
  <c r="K83" i="1" s="1"/>
  <c r="K78" i="1"/>
  <c r="J79" i="1"/>
  <c r="J83" i="1" s="1"/>
  <c r="J78" i="1"/>
  <c r="J8" i="1" s="1"/>
  <c r="I79" i="1"/>
  <c r="I83" i="1" s="1"/>
  <c r="I78" i="1"/>
  <c r="I8" i="1" s="1"/>
  <c r="H79" i="1"/>
  <c r="H83" i="1" s="1"/>
  <c r="H78" i="1"/>
  <c r="H8" i="1" s="1"/>
  <c r="F78" i="1"/>
  <c r="F8" i="1" s="1"/>
  <c r="F79" i="1"/>
  <c r="F83" i="1" s="1"/>
  <c r="G79" i="1"/>
  <c r="G83" i="1" s="1"/>
  <c r="E79" i="1"/>
  <c r="E83" i="1" s="1"/>
  <c r="E78" i="1"/>
  <c r="E8" i="1" s="1"/>
  <c r="D80" i="1"/>
  <c r="C80" i="1"/>
  <c r="M48" i="6" l="1"/>
  <c r="M66" i="6" s="1"/>
  <c r="F23" i="4"/>
  <c r="F25" i="4" s="1"/>
  <c r="F34" i="4" s="1"/>
  <c r="F40" i="2" s="1"/>
  <c r="G62" i="4"/>
  <c r="G39" i="3" s="1"/>
  <c r="G30" i="2" s="1"/>
  <c r="F84" i="1"/>
  <c r="F86" i="1" s="1"/>
  <c r="J84" i="1"/>
  <c r="J86" i="1" s="1"/>
  <c r="J9" i="1" s="1"/>
  <c r="K84" i="1"/>
  <c r="K86" i="1" s="1"/>
  <c r="K9" i="1" s="1"/>
  <c r="G84" i="1"/>
  <c r="G86" i="1" s="1"/>
  <c r="G9" i="1" s="1"/>
  <c r="L84" i="1"/>
  <c r="L86" i="1" s="1"/>
  <c r="L9" i="1" s="1"/>
  <c r="H84" i="1"/>
  <c r="H86" i="1" s="1"/>
  <c r="H9" i="1" s="1"/>
  <c r="E84" i="1"/>
  <c r="E86" i="1" s="1"/>
  <c r="I84" i="1"/>
  <c r="I86" i="1" s="1"/>
  <c r="I9" i="1" s="1"/>
  <c r="M84" i="1"/>
  <c r="M86" i="1" s="1"/>
  <c r="M9" i="1" s="1"/>
  <c r="L80" i="1"/>
  <c r="N80" i="1"/>
  <c r="M80" i="1"/>
  <c r="K80" i="1"/>
  <c r="K8" i="1"/>
  <c r="J80" i="1"/>
  <c r="I80" i="1"/>
  <c r="H80" i="1"/>
  <c r="G78" i="1"/>
  <c r="F80" i="1"/>
  <c r="E80" i="1"/>
  <c r="G80" i="1" l="1"/>
  <c r="G8" i="1"/>
  <c r="P25" i="1"/>
  <c r="D30" i="3" s="1"/>
  <c r="F66" i="1"/>
  <c r="F68" i="1" s="1"/>
  <c r="F70" i="1" s="1"/>
  <c r="F73" i="1" s="1"/>
  <c r="E66" i="1"/>
  <c r="E68" i="1" s="1"/>
  <c r="E70" i="1" s="1"/>
  <c r="E73" i="1" s="1"/>
  <c r="D66" i="1"/>
  <c r="D68" i="1" s="1"/>
  <c r="D70" i="1" s="1"/>
  <c r="D73" i="1" s="1"/>
  <c r="C68" i="1"/>
  <c r="C70" i="1" s="1"/>
  <c r="C73" i="1" s="1"/>
  <c r="H66" i="1"/>
  <c r="I66" i="1"/>
  <c r="J66" i="1"/>
  <c r="K66" i="1"/>
  <c r="L66" i="1"/>
  <c r="M66" i="1"/>
  <c r="N66" i="1"/>
  <c r="G66" i="1"/>
  <c r="G68" i="1" s="1"/>
  <c r="G70" i="1" s="1"/>
  <c r="G73" i="1" s="1"/>
  <c r="H68" i="1"/>
  <c r="H70" i="1" s="1"/>
  <c r="H73" i="1" s="1"/>
  <c r="I68" i="1"/>
  <c r="I70" i="1" s="1"/>
  <c r="I73" i="1" s="1"/>
  <c r="J68" i="1"/>
  <c r="J70" i="1" s="1"/>
  <c r="J73" i="1" s="1"/>
  <c r="K68" i="1"/>
  <c r="K70" i="1" s="1"/>
  <c r="K73" i="1" s="1"/>
  <c r="L68" i="1"/>
  <c r="L70" i="1" s="1"/>
  <c r="L73" i="1" s="1"/>
  <c r="M68" i="1"/>
  <c r="M70" i="1" s="1"/>
  <c r="M73" i="1" s="1"/>
  <c r="N68" i="1"/>
  <c r="N70" i="1" s="1"/>
  <c r="N73" i="1" s="1"/>
  <c r="K30" i="3" l="1"/>
  <c r="D21" i="2"/>
  <c r="E30" i="3"/>
  <c r="E21" i="2" s="1"/>
  <c r="P47" i="1"/>
  <c r="P48" i="1" s="1"/>
  <c r="P46" i="1"/>
  <c r="P43" i="1"/>
  <c r="P42" i="1"/>
  <c r="P35" i="1"/>
  <c r="D40" i="3" s="1"/>
  <c r="P34" i="1"/>
  <c r="P33" i="1"/>
  <c r="D38" i="3" s="1"/>
  <c r="P32" i="1"/>
  <c r="D37" i="3" s="1"/>
  <c r="P31" i="1"/>
  <c r="D36" i="3" s="1"/>
  <c r="P30" i="1"/>
  <c r="D35" i="3" s="1"/>
  <c r="P29" i="1"/>
  <c r="D34" i="3" s="1"/>
  <c r="P28" i="1"/>
  <c r="D33" i="3" s="1"/>
  <c r="P27" i="1"/>
  <c r="D32" i="3" s="1"/>
  <c r="P26" i="1"/>
  <c r="D31" i="3" s="1"/>
  <c r="P24" i="1"/>
  <c r="D29" i="3" s="1"/>
  <c r="P23" i="1"/>
  <c r="D28" i="3" s="1"/>
  <c r="P22" i="1"/>
  <c r="D27" i="3" s="1"/>
  <c r="P21" i="1"/>
  <c r="D26" i="3" s="1"/>
  <c r="P20" i="1"/>
  <c r="D25" i="3" s="1"/>
  <c r="P19" i="1"/>
  <c r="D24" i="3" s="1"/>
  <c r="P18" i="1"/>
  <c r="D23" i="3" s="1"/>
  <c r="P17" i="1"/>
  <c r="P16" i="1"/>
  <c r="P11" i="1"/>
  <c r="P10" i="1"/>
  <c r="P9" i="1"/>
  <c r="D11" i="3" s="1"/>
  <c r="P8" i="1"/>
  <c r="D10" i="3" s="1"/>
  <c r="D6" i="2" l="1"/>
  <c r="E10" i="3"/>
  <c r="E11" i="3"/>
  <c r="D7" i="2"/>
  <c r="R16" i="1"/>
  <c r="D22" i="3"/>
  <c r="K23" i="3"/>
  <c r="D14" i="2"/>
  <c r="K24" i="3"/>
  <c r="D15" i="2"/>
  <c r="K25" i="3"/>
  <c r="D16" i="2"/>
  <c r="K26" i="3"/>
  <c r="D17" i="2"/>
  <c r="K27" i="3"/>
  <c r="D18" i="2"/>
  <c r="K28" i="3"/>
  <c r="D19" i="2"/>
  <c r="E29" i="3"/>
  <c r="K29" i="3"/>
  <c r="D20" i="2"/>
  <c r="E31" i="3"/>
  <c r="K31" i="3"/>
  <c r="D22" i="2"/>
  <c r="K32" i="3"/>
  <c r="D23" i="2"/>
  <c r="K33" i="3"/>
  <c r="D24" i="2"/>
  <c r="K34" i="3"/>
  <c r="D25" i="2"/>
  <c r="E35" i="3"/>
  <c r="K35" i="3"/>
  <c r="D26" i="2"/>
  <c r="K36" i="3"/>
  <c r="D27" i="2"/>
  <c r="K37" i="3"/>
  <c r="D28" i="2"/>
  <c r="K38" i="3"/>
  <c r="D29" i="2"/>
  <c r="K40" i="3"/>
  <c r="D31" i="2"/>
  <c r="E25" i="3"/>
  <c r="E16" i="2" s="1"/>
  <c r="E34" i="3"/>
  <c r="E25" i="2" s="1"/>
  <c r="E38" i="3"/>
  <c r="E29" i="2" s="1"/>
  <c r="E26" i="3"/>
  <c r="E17" i="2" s="1"/>
  <c r="E23" i="3"/>
  <c r="E14" i="2" s="1"/>
  <c r="E27" i="3"/>
  <c r="E18" i="2" s="1"/>
  <c r="E32" i="3"/>
  <c r="E23" i="2" s="1"/>
  <c r="E36" i="3"/>
  <c r="E27" i="2" s="1"/>
  <c r="E40" i="3"/>
  <c r="E31" i="2" s="1"/>
  <c r="E24" i="3"/>
  <c r="E15" i="2" s="1"/>
  <c r="E28" i="3"/>
  <c r="E19" i="2" s="1"/>
  <c r="E33" i="3"/>
  <c r="E24" i="2" s="1"/>
  <c r="E37" i="3"/>
  <c r="E28" i="2" s="1"/>
  <c r="F30" i="3"/>
  <c r="F21" i="2" s="1"/>
  <c r="P44" i="1"/>
  <c r="P37" i="1"/>
  <c r="P12" i="1"/>
  <c r="F35" i="3" l="1"/>
  <c r="E26" i="2"/>
  <c r="F31" i="3"/>
  <c r="E22" i="2"/>
  <c r="F29" i="3"/>
  <c r="E20" i="2"/>
  <c r="K22" i="3"/>
  <c r="D13" i="2"/>
  <c r="E22" i="3"/>
  <c r="D41" i="3"/>
  <c r="F11" i="3"/>
  <c r="E7" i="2"/>
  <c r="F10" i="3"/>
  <c r="E6" i="2"/>
  <c r="G30" i="3"/>
  <c r="G21" i="2" s="1"/>
  <c r="F24" i="3"/>
  <c r="F15" i="2" s="1"/>
  <c r="F38" i="3"/>
  <c r="F29" i="2" s="1"/>
  <c r="F34" i="3"/>
  <c r="F25" i="2" s="1"/>
  <c r="F25" i="3"/>
  <c r="F16" i="2" s="1"/>
  <c r="F37" i="3"/>
  <c r="F28" i="2" s="1"/>
  <c r="F28" i="3"/>
  <c r="F19" i="2" s="1"/>
  <c r="F40" i="3"/>
  <c r="F31" i="2" s="1"/>
  <c r="F32" i="3"/>
  <c r="F23" i="2" s="1"/>
  <c r="F23" i="3"/>
  <c r="F14" i="2" s="1"/>
  <c r="F33" i="3"/>
  <c r="F24" i="2" s="1"/>
  <c r="F36" i="3"/>
  <c r="F27" i="2" s="1"/>
  <c r="F27" i="3"/>
  <c r="F18" i="2" s="1"/>
  <c r="F26" i="3"/>
  <c r="F17" i="2" s="1"/>
  <c r="P39" i="1"/>
  <c r="P50" i="1" s="1"/>
  <c r="G10" i="3" l="1"/>
  <c r="G6" i="2" s="1"/>
  <c r="F6" i="2"/>
  <c r="G11" i="3"/>
  <c r="G7" i="2" s="1"/>
  <c r="F7" i="2"/>
  <c r="K41" i="3"/>
  <c r="D32" i="2"/>
  <c r="D34" i="2" s="1"/>
  <c r="E41" i="3"/>
  <c r="D42" i="3"/>
  <c r="E42" i="3"/>
  <c r="E13" i="2"/>
  <c r="F22" i="3"/>
  <c r="G29" i="3"/>
  <c r="G20" i="2" s="1"/>
  <c r="F20" i="2"/>
  <c r="G31" i="3"/>
  <c r="G22" i="2" s="1"/>
  <c r="F22" i="2"/>
  <c r="G35" i="3"/>
  <c r="G26" i="2" s="1"/>
  <c r="F26" i="2"/>
  <c r="G40" i="3"/>
  <c r="G31" i="2" s="1"/>
  <c r="G38" i="3"/>
  <c r="G29" i="2" s="1"/>
  <c r="G37" i="3"/>
  <c r="G28" i="2" s="1"/>
  <c r="G36" i="3"/>
  <c r="G27" i="2" s="1"/>
  <c r="G34" i="3"/>
  <c r="G25" i="2" s="1"/>
  <c r="G33" i="3"/>
  <c r="G24" i="2" s="1"/>
  <c r="G32" i="3"/>
  <c r="G23" i="2" s="1"/>
  <c r="G28" i="3"/>
  <c r="G19" i="2" s="1"/>
  <c r="G27" i="3"/>
  <c r="G18" i="2" s="1"/>
  <c r="G26" i="3"/>
  <c r="G17" i="2" s="1"/>
  <c r="G25" i="3"/>
  <c r="G16" i="2" s="1"/>
  <c r="G24" i="3"/>
  <c r="G15" i="2" s="1"/>
  <c r="G23" i="3"/>
  <c r="G14" i="2" s="1"/>
  <c r="E9" i="2"/>
  <c r="E12" i="3"/>
  <c r="D12" i="3"/>
  <c r="F42" i="2"/>
  <c r="E42" i="2"/>
  <c r="D42" i="2"/>
  <c r="D9" i="2"/>
  <c r="D44" i="1"/>
  <c r="E44" i="1"/>
  <c r="F44" i="1"/>
  <c r="G44" i="1"/>
  <c r="H44" i="1"/>
  <c r="I44" i="1"/>
  <c r="J44" i="1"/>
  <c r="K44" i="1"/>
  <c r="L44" i="1"/>
  <c r="M44" i="1"/>
  <c r="N44" i="1"/>
  <c r="D48" i="1"/>
  <c r="E48" i="1"/>
  <c r="F48" i="1"/>
  <c r="G48" i="1"/>
  <c r="H48" i="1"/>
  <c r="I48" i="1"/>
  <c r="J48" i="1"/>
  <c r="K48" i="1"/>
  <c r="L48" i="1"/>
  <c r="M48" i="1"/>
  <c r="N48" i="1"/>
  <c r="C48" i="1"/>
  <c r="C44" i="1"/>
  <c r="D12" i="1"/>
  <c r="E12" i="1"/>
  <c r="F12" i="1"/>
  <c r="G12" i="1"/>
  <c r="H12" i="1"/>
  <c r="I12" i="1"/>
  <c r="J12" i="1"/>
  <c r="J39" i="1" s="1"/>
  <c r="K12" i="1"/>
  <c r="L12" i="1"/>
  <c r="M12" i="1"/>
  <c r="N12" i="1"/>
  <c r="C12" i="1"/>
  <c r="J10" i="3" l="1"/>
  <c r="J11" i="3"/>
  <c r="G22" i="3"/>
  <c r="F13" i="2"/>
  <c r="F41" i="3"/>
  <c r="E32" i="2"/>
  <c r="E34" i="2" s="1"/>
  <c r="G9" i="2"/>
  <c r="E7" i="3"/>
  <c r="E8" i="3" s="1"/>
  <c r="K11" i="3"/>
  <c r="K10" i="3"/>
  <c r="F9" i="2"/>
  <c r="G12" i="3"/>
  <c r="F12" i="3"/>
  <c r="E36" i="2"/>
  <c r="E44" i="2" s="1"/>
  <c r="D36" i="2"/>
  <c r="D44" i="2" s="1"/>
  <c r="N39" i="1"/>
  <c r="N50" i="1" s="1"/>
  <c r="D7" i="3"/>
  <c r="D8" i="3" s="1"/>
  <c r="D17" i="3"/>
  <c r="E17" i="3" s="1"/>
  <c r="F17" i="3" s="1"/>
  <c r="G17" i="3" s="1"/>
  <c r="M39" i="1"/>
  <c r="M50" i="1" s="1"/>
  <c r="L39" i="1"/>
  <c r="L50" i="1" s="1"/>
  <c r="H39" i="1"/>
  <c r="H50" i="1" s="1"/>
  <c r="J50" i="1"/>
  <c r="I39" i="1"/>
  <c r="I50" i="1" s="1"/>
  <c r="C39" i="1"/>
  <c r="C50" i="1" s="1"/>
  <c r="C54" i="1" s="1"/>
  <c r="D52" i="1" s="1"/>
  <c r="K39" i="1"/>
  <c r="K50" i="1" s="1"/>
  <c r="G39" i="1"/>
  <c r="G50" i="1" s="1"/>
  <c r="F39" i="1"/>
  <c r="F50" i="1" s="1"/>
  <c r="E39" i="1"/>
  <c r="E50" i="1" s="1"/>
  <c r="D39" i="1"/>
  <c r="D50" i="1" s="1"/>
  <c r="G41" i="3" l="1"/>
  <c r="G32" i="2" s="1"/>
  <c r="F32" i="2"/>
  <c r="F34" i="2" s="1"/>
  <c r="F42" i="3"/>
  <c r="G42" i="3"/>
  <c r="G13" i="2"/>
  <c r="G34" i="2" s="1"/>
  <c r="G36" i="2" s="1"/>
  <c r="G44" i="2" s="1"/>
  <c r="F7" i="3"/>
  <c r="F8" i="3" s="1"/>
  <c r="L11" i="3"/>
  <c r="L10" i="3"/>
  <c r="G7" i="3"/>
  <c r="G8" i="3" s="1"/>
  <c r="M11" i="3"/>
  <c r="M10" i="3"/>
  <c r="F36" i="2"/>
  <c r="F44" i="2" s="1"/>
  <c r="D54" i="1"/>
  <c r="E52" i="1" s="1"/>
  <c r="E54" i="1" s="1"/>
  <c r="F52" i="1" s="1"/>
  <c r="F54" i="1" s="1"/>
  <c r="G52" i="1" s="1"/>
  <c r="G54" i="1" s="1"/>
  <c r="H52" i="1" s="1"/>
  <c r="H54" i="1" s="1"/>
  <c r="I52" i="1" s="1"/>
  <c r="I54" i="1" s="1"/>
  <c r="J52" i="1" s="1"/>
  <c r="J54" i="1" s="1"/>
  <c r="K52" i="1" s="1"/>
  <c r="K54" i="1" s="1"/>
  <c r="L52" i="1" s="1"/>
  <c r="L54" i="1" s="1"/>
  <c r="M52" i="1" s="1"/>
  <c r="M54" i="1" s="1"/>
  <c r="N52" i="1" s="1"/>
  <c r="N54" i="1" s="1"/>
  <c r="D18" i="3"/>
  <c r="D48" i="2" l="1"/>
  <c r="E46" i="2" s="1"/>
  <c r="E48" i="2" s="1"/>
  <c r="F46" i="2" s="1"/>
  <c r="F48" i="2" s="1"/>
  <c r="G46" i="2" s="1"/>
  <c r="G48" i="2" s="1"/>
  <c r="P52" i="1"/>
  <c r="P54" i="1" s="1"/>
  <c r="E18" i="3"/>
  <c r="F18" i="3" l="1"/>
  <c r="G1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Dinesh</author>
  </authors>
  <commentList>
    <comment ref="C45" authorId="0" shapeId="0" xr:uid="{00000000-0006-0000-0400-000001000000}">
      <text>
        <r>
          <rPr>
            <b/>
            <sz val="9"/>
            <color indexed="81"/>
            <rFont val="Tahoma"/>
            <charset val="1"/>
          </rPr>
          <t>Dinesh:</t>
        </r>
        <r>
          <rPr>
            <sz val="9"/>
            <color indexed="81"/>
            <rFont val="Tahoma"/>
            <charset val="1"/>
          </rPr>
          <t xml:space="preserve">
This will not be applicable NPO
</t>
        </r>
      </text>
    </comment>
  </commentList>
</comments>
</file>

<file path=xl/sharedStrings.xml><?xml version="1.0" encoding="utf-8"?>
<sst xmlns="http://schemas.openxmlformats.org/spreadsheetml/2006/main" count="233" uniqueCount="135">
  <si>
    <t>ACTUAL STATEMENT OF CASH FLOWS (PAST 12 MONTHS)</t>
  </si>
  <si>
    <t>Total</t>
  </si>
  <si>
    <t>Cash Inflows</t>
  </si>
  <si>
    <t>Cash Collection (Cash Sales)</t>
  </si>
  <si>
    <t>Credit Collection</t>
  </si>
  <si>
    <t xml:space="preserve">Other Collections </t>
  </si>
  <si>
    <t xml:space="preserve">Bank Finance </t>
  </si>
  <si>
    <t xml:space="preserve">Total cash Inflows </t>
  </si>
  <si>
    <t xml:space="preserve">Cash Outflows </t>
  </si>
  <si>
    <t xml:space="preserve">Operating Expenses </t>
  </si>
  <si>
    <t xml:space="preserve">Payments to supplier </t>
  </si>
  <si>
    <t>Handling charges</t>
  </si>
  <si>
    <t xml:space="preserve">Rent </t>
  </si>
  <si>
    <t xml:space="preserve">Telephone &amp; Internet </t>
  </si>
  <si>
    <t xml:space="preserve">Utilities </t>
  </si>
  <si>
    <t>Payroll Expenses : Employees</t>
  </si>
  <si>
    <t>Payroll Expenses : Directors</t>
  </si>
  <si>
    <t>Office Expenses</t>
  </si>
  <si>
    <t xml:space="preserve">Transport &amp; Delivery </t>
  </si>
  <si>
    <t>Professional Fees</t>
  </si>
  <si>
    <t>Marketing Expenses</t>
  </si>
  <si>
    <t xml:space="preserve">Visa Expenses </t>
  </si>
  <si>
    <t xml:space="preserve">Pension </t>
  </si>
  <si>
    <t xml:space="preserve">Repair &amp; Maintennance </t>
  </si>
  <si>
    <t xml:space="preserve">Insurance </t>
  </si>
  <si>
    <t>Bank  Chargers</t>
  </si>
  <si>
    <t xml:space="preserve">Fine </t>
  </si>
  <si>
    <t>Exchange Loss</t>
  </si>
  <si>
    <t xml:space="preserve">Taxes Paid </t>
  </si>
  <si>
    <t xml:space="preserve">Zakath &amp; Donations </t>
  </si>
  <si>
    <t xml:space="preserve">Total cash flow from operating activities </t>
  </si>
  <si>
    <t xml:space="preserve">Net cash flow from operating activities </t>
  </si>
  <si>
    <t xml:space="preserve">Other Non Operating Cash Outflows </t>
  </si>
  <si>
    <t xml:space="preserve">Acquisition of Property, Plant  &amp; Equipment </t>
  </si>
  <si>
    <t>Acquisition of Working in Progress</t>
  </si>
  <si>
    <t xml:space="preserve">Total Cash Flow from Investing activities </t>
  </si>
  <si>
    <t>Cash flow from financing activities</t>
  </si>
  <si>
    <t xml:space="preserve">Bank loan Repayment </t>
  </si>
  <si>
    <t xml:space="preserve">Total </t>
  </si>
  <si>
    <t xml:space="preserve">Net cash Flow </t>
  </si>
  <si>
    <t xml:space="preserve">Operating Cash Balance </t>
  </si>
  <si>
    <t xml:space="preserve">Closing Cash Balance </t>
  </si>
  <si>
    <t xml:space="preserve">AP - Supplier Payment </t>
  </si>
  <si>
    <t>Opening Balance AP</t>
  </si>
  <si>
    <t xml:space="preserve">Purchase </t>
  </si>
  <si>
    <t xml:space="preserve">Month end AP </t>
  </si>
  <si>
    <t xml:space="preserve">supplier Payment </t>
  </si>
  <si>
    <t>Credit Sales</t>
  </si>
  <si>
    <t>Cash Sale</t>
  </si>
  <si>
    <t>Total Sale</t>
  </si>
  <si>
    <t>Opening AR</t>
  </si>
  <si>
    <t>Credit Sale</t>
  </si>
  <si>
    <t>Closing AR</t>
  </si>
  <si>
    <t>Credi Collection</t>
  </si>
  <si>
    <t xml:space="preserve">Loan payment </t>
  </si>
  <si>
    <t>BML 1.0 Mn</t>
  </si>
  <si>
    <t>Interest</t>
  </si>
  <si>
    <t>BOC 0.5Mn 2019 Loan</t>
  </si>
  <si>
    <t>BOC 0.5Mn 2020 Loan</t>
  </si>
  <si>
    <t>BML 3.0MN</t>
  </si>
  <si>
    <t>BUDET ESTIMATES</t>
  </si>
  <si>
    <t xml:space="preserve">PROJECTED CASH FLOW STATEMENT </t>
  </si>
  <si>
    <t>ABC  PRIVATE LIMITED</t>
  </si>
  <si>
    <t>ABC Pvt Ltd</t>
  </si>
  <si>
    <t xml:space="preserve">FORECASTED STATEMENT OF CASH FLOWS </t>
  </si>
  <si>
    <t xml:space="preserve">Note No. </t>
  </si>
  <si>
    <t>Year 1</t>
  </si>
  <si>
    <t>Year 2</t>
  </si>
  <si>
    <t>Year 3</t>
  </si>
  <si>
    <t>Year 4</t>
  </si>
  <si>
    <t xml:space="preserve">Cash Inflows </t>
  </si>
  <si>
    <t xml:space="preserve">Cash Sales </t>
  </si>
  <si>
    <t xml:space="preserve">Credit Collections </t>
  </si>
  <si>
    <t xml:space="preserve">Total Cash Inflows </t>
  </si>
  <si>
    <t xml:space="preserve">Advanced Payment for supplier </t>
  </si>
  <si>
    <t>Total Cash Flow from Operating activities</t>
  </si>
  <si>
    <t>Net cash flow from operating activities</t>
  </si>
  <si>
    <t>Other Non-Operating Cash outflows:</t>
  </si>
  <si>
    <t>Guest house project</t>
  </si>
  <si>
    <t>Loan Repayment</t>
  </si>
  <si>
    <t>Finance Cost</t>
  </si>
  <si>
    <t>Short Term Loan Repayment</t>
  </si>
  <si>
    <t>Net cash flow</t>
  </si>
  <si>
    <t>Opening cash balance</t>
  </si>
  <si>
    <t>Closing Cash balance</t>
  </si>
  <si>
    <t>NOTES TO THE FORECASTED FINANCIAL STATEMENT</t>
  </si>
  <si>
    <t>Revenue</t>
  </si>
  <si>
    <t>Sales</t>
  </si>
  <si>
    <t>i. Sales is assumed to increase by 7% annually</t>
  </si>
  <si>
    <t>ii. Based on past trends, Cash Sales and Credit Sales are assumed to be 90% and 10%, respectively</t>
  </si>
  <si>
    <t>Cost of sale</t>
  </si>
  <si>
    <t>Cost of Goods Sold</t>
  </si>
  <si>
    <t>i. Cost of sales is assumed to be 65% of sales</t>
  </si>
  <si>
    <t>Operating Expense</t>
  </si>
  <si>
    <t>i. Payments to suppliers are expected purchases for the year and are expected to increase in line with increase in sales</t>
  </si>
  <si>
    <t>ii. Rent is based as per rental agreements</t>
  </si>
  <si>
    <t>iii. All figures for year 1 are calculated as increases on 2020 actuals</t>
  </si>
  <si>
    <t>iv. Telephone &amp; Internet, Utilities, Printing and Stationery, Other expenses, Professional Fees, Visa Expense, Pension, Repair and Maintenance and Insurance expenses are expected to increase by 5% annually</t>
  </si>
  <si>
    <t>v. Payroll expenses, Transport &amp; Delivery, Marketing Expenses, Bank Charges  are expected to increase by 3%
annually</t>
  </si>
  <si>
    <t>vi. Advance Payments to Suppliers are expected advance payments required on purchases, proportional to increase in payments to
suppliers</t>
  </si>
  <si>
    <t>Construction in Progresss</t>
  </si>
  <si>
    <t>Opening WIP</t>
  </si>
  <si>
    <t>Project expected to be complete by end of 2021 and cost additional MVR 1,000,000</t>
  </si>
  <si>
    <t>Finance Cost - Short term Loan - BOC</t>
  </si>
  <si>
    <t>Finance Cost - Covid Loan - BML</t>
  </si>
  <si>
    <t>Finance Cost - WC Loan - BML</t>
  </si>
  <si>
    <t>Proposed Stimulus Finance BML</t>
  </si>
  <si>
    <t>The interests amounts are included under finance cost.</t>
  </si>
  <si>
    <t>Borrowings Repayments</t>
  </si>
  <si>
    <t>Non- Current</t>
  </si>
  <si>
    <t>Current</t>
  </si>
  <si>
    <t>Total Borrowings</t>
  </si>
  <si>
    <t>i. BOC Loan is a short-term loan from Bank of Ceylon for MVR 500,000 with a tenor of 12 months</t>
  </si>
  <si>
    <t>ii. Coivd loan is a loan from BML for MVR 1,000,000 with a tenor of 36 months at 6% interest p.a., monthly BML monthly repayments are MVR 36,100/-</t>
  </si>
  <si>
    <t>iii. Working Capital loan is a loan from BML for MVR 3,000,000 with a tenor of 36 months at 10% interest p.a., monthly BML monthly repayments are MVR 100,000/-</t>
  </si>
  <si>
    <t>Income Tax Expense</t>
  </si>
  <si>
    <t>Profit before tax</t>
  </si>
  <si>
    <t>Add: Non-deductible expenditures</t>
  </si>
  <si>
    <t>Less: Deductions allowed</t>
  </si>
  <si>
    <t>Taxable profit</t>
  </si>
  <si>
    <t>Less: Tax Free Threshold</t>
  </si>
  <si>
    <t>Profit subject to Income Tax</t>
  </si>
  <si>
    <t>Income Tax Payable</t>
  </si>
  <si>
    <t>Income Tax Payables</t>
  </si>
  <si>
    <t>Less:Excess Payment</t>
  </si>
  <si>
    <t>Less: Interim Payment</t>
  </si>
  <si>
    <t>Tax Payable</t>
  </si>
  <si>
    <t>Pending  Tax Payment</t>
  </si>
  <si>
    <t>First Interim Tax Payment of Next Year</t>
  </si>
  <si>
    <t>Second Interim Tax Payment of Current Year</t>
  </si>
  <si>
    <t>Boc 05.MN</t>
  </si>
  <si>
    <t>BML 1MN</t>
  </si>
  <si>
    <t>BML 3MN</t>
  </si>
  <si>
    <t>BML6MN</t>
  </si>
  <si>
    <t xml:space="preserve">Capital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</si>
</sst>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5" tint="0.39991454817346722"/>
      </bottom>
      <diagonal/>
    </border>
    <border>
      <left/>
      <right/>
      <top style="thin">
        <color theme="5"/>
      </top>
      <bottom style="double">
        <color theme="5"/>
      </bottom>
      <diagonal/>
    </border>
    <border>
      <left/>
      <right/>
      <top style="thin">
        <color theme="5"/>
      </top>
      <bottom style="medium">
        <color theme="5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3" fontId="0" fillId="0" borderId="0" xfId="0" applyNumberFormat="1"/>
    <xf numFmtId="164" fontId="0" fillId="0" borderId="2" xfId="1" applyNumberFormat="1" applyFont="1" applyBorder="1"/>
    <xf numFmtId="164" fontId="0" fillId="0" borderId="0" xfId="1" applyNumberFormat="1" applyFont="1"/>
    <xf numFmtId="164" fontId="0" fillId="0" borderId="0" xfId="1" applyNumberFormat="1" applyFont="1" applyBorder="1"/>
    <xf numFmtId="164" fontId="0" fillId="0" borderId="3" xfId="1" applyNumberFormat="1" applyFont="1" applyBorder="1"/>
    <xf numFmtId="0" fontId="4" fillId="0" borderId="0" xfId="0" applyFon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64" fontId="1" fillId="0" borderId="5" xfId="1" applyNumberFormat="1" applyFont="1" applyBorder="1"/>
    <xf numFmtId="0" fontId="0" fillId="0" borderId="0" xfId="0" applyAlignment="1">
      <alignment horizontal="center"/>
    </xf>
    <xf numFmtId="164" fontId="2" fillId="0" borderId="2" xfId="1" applyNumberFormat="1" applyFont="1" applyBorder="1"/>
    <xf numFmtId="164" fontId="2" fillId="0" borderId="4" xfId="1" applyNumberFormat="1" applyFont="1" applyBorder="1" applyAlignment="1">
      <alignment horizontal="center"/>
    </xf>
    <xf numFmtId="164" fontId="2" fillId="0" borderId="0" xfId="1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0" borderId="0" xfId="1" applyNumberFormat="1" applyFont="1" applyBorder="1"/>
    <xf numFmtId="164" fontId="1" fillId="0" borderId="0" xfId="1" applyNumberFormat="1" applyFont="1" applyBorder="1"/>
    <xf numFmtId="0" fontId="0" fillId="0" borderId="0" xfId="0" applyAlignment="1">
      <alignment horizontal="justify" wrapText="1"/>
    </xf>
    <xf numFmtId="164" fontId="1" fillId="0" borderId="6" xfId="1" applyNumberFormat="1" applyFont="1" applyBorder="1"/>
    <xf numFmtId="17" fontId="2" fillId="2" borderId="1" xfId="0" applyNumberFormat="1" applyFont="1" applyFill="1" applyBorder="1" applyAlignment="1">
      <alignment horizontal="center"/>
    </xf>
    <xf numFmtId="0" fontId="0" fillId="2" borderId="0" xfId="0" applyFill="1"/>
    <xf numFmtId="164" fontId="0" fillId="2" borderId="0" xfId="1" applyNumberFormat="1" applyFont="1" applyFill="1"/>
    <xf numFmtId="164" fontId="0" fillId="2" borderId="2" xfId="1" applyNumberFormat="1" applyFont="1" applyFill="1" applyBorder="1"/>
    <xf numFmtId="3" fontId="0" fillId="2" borderId="0" xfId="0" applyNumberFormat="1" applyFill="1"/>
    <xf numFmtId="164" fontId="0" fillId="2" borderId="3" xfId="1" applyNumberFormat="1" applyFont="1" applyFill="1" applyBorder="1"/>
    <xf numFmtId="43" fontId="0" fillId="0" borderId="0" xfId="0" applyNumberFormat="1"/>
    <xf numFmtId="164" fontId="0" fillId="3" borderId="0" xfId="1" applyNumberFormat="1" applyFont="1" applyFill="1"/>
    <xf numFmtId="164" fontId="0" fillId="0" borderId="0" xfId="1" applyNumberFormat="1" applyFont="1" applyFill="1"/>
    <xf numFmtId="164" fontId="0" fillId="0" borderId="0" xfId="0" applyNumberFormat="1"/>
    <xf numFmtId="164" fontId="1" fillId="0" borderId="0" xfId="1" applyNumberFormat="1" applyFont="1"/>
    <xf numFmtId="43" fontId="0" fillId="0" borderId="0" xfId="1" applyFont="1"/>
    <xf numFmtId="164" fontId="0" fillId="0" borderId="4" xfId="1" applyNumberFormat="1" applyFont="1" applyBorder="1"/>
    <xf numFmtId="164" fontId="2" fillId="0" borderId="4" xfId="1" applyNumberFormat="1" applyFont="1" applyBorder="1"/>
    <xf numFmtId="0" fontId="0" fillId="0" borderId="0" xfId="0" applyAlignment="1">
      <alignment wrapText="1"/>
    </xf>
    <xf numFmtId="0" fontId="5" fillId="0" borderId="0" xfId="0" applyFont="1"/>
    <xf numFmtId="15" fontId="2" fillId="0" borderId="0" xfId="0" applyNumberFormat="1" applyFont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43" fontId="0" fillId="0" borderId="0" xfId="1" applyFont="1" applyBorder="1"/>
    <xf numFmtId="164" fontId="0" fillId="0" borderId="0" xfId="1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4" fontId="7" fillId="0" borderId="0" xfId="1" applyNumberFormat="1" applyFont="1" applyBorder="1" applyAlignment="1">
      <alignment horizontal="right"/>
    </xf>
    <xf numFmtId="164" fontId="6" fillId="0" borderId="0" xfId="1" applyNumberFormat="1" applyFont="1" applyBorder="1" applyAlignment="1">
      <alignment horizontal="right"/>
    </xf>
    <xf numFmtId="0" fontId="0" fillId="4" borderId="0" xfId="0" applyFill="1"/>
    <xf numFmtId="164" fontId="0" fillId="4" borderId="0" xfId="1" applyNumberFormat="1" applyFont="1" applyFill="1"/>
    <xf numFmtId="43" fontId="0" fillId="4" borderId="0" xfId="1" applyFont="1" applyFill="1"/>
    <xf numFmtId="0" fontId="0" fillId="3" borderId="0" xfId="0" applyFill="1"/>
    <xf numFmtId="43" fontId="0" fillId="3" borderId="0" xfId="1" applyFont="1" applyFill="1"/>
    <xf numFmtId="17" fontId="0" fillId="3" borderId="0" xfId="0" applyNumberFormat="1" applyFill="1"/>
    <xf numFmtId="17" fontId="0" fillId="5" borderId="0" xfId="0" applyNumberFormat="1" applyFill="1"/>
    <xf numFmtId="17" fontId="0" fillId="7" borderId="0" xfId="0" applyNumberFormat="1" applyFill="1"/>
    <xf numFmtId="17" fontId="0" fillId="0" borderId="0" xfId="0" applyNumberFormat="1"/>
    <xf numFmtId="17" fontId="0" fillId="8" borderId="0" xfId="0" applyNumberFormat="1" applyFill="1"/>
    <xf numFmtId="43" fontId="0" fillId="0" borderId="0" xfId="1" applyFont="1" applyFill="1"/>
    <xf numFmtId="43" fontId="0" fillId="0" borderId="0" xfId="1" applyFont="1" applyFill="1" applyAlignment="1">
      <alignment horizontal="center"/>
    </xf>
    <xf numFmtId="164" fontId="0" fillId="5" borderId="0" xfId="1" applyNumberFormat="1" applyFont="1" applyFill="1"/>
    <xf numFmtId="43" fontId="0" fillId="5" borderId="0" xfId="1" applyFont="1" applyFill="1"/>
    <xf numFmtId="43" fontId="0" fillId="9" borderId="0" xfId="1" applyFont="1" applyFill="1"/>
    <xf numFmtId="43" fontId="0" fillId="6" borderId="0" xfId="1" applyFont="1" applyFill="1"/>
    <xf numFmtId="164" fontId="0" fillId="6" borderId="0" xfId="1" applyNumberFormat="1" applyFont="1" applyFill="1"/>
    <xf numFmtId="9" fontId="0" fillId="0" borderId="0" xfId="2" applyFont="1"/>
    <xf numFmtId="164" fontId="1" fillId="0" borderId="0" xfId="1" applyNumberFormat="1" applyFont="1" applyFill="1"/>
    <xf numFmtId="164" fontId="1" fillId="0" borderId="0" xfId="1" applyNumberFormat="1" applyFont="1" applyFill="1" applyBorder="1"/>
    <xf numFmtId="43" fontId="2" fillId="0" borderId="0" xfId="1" applyFont="1"/>
    <xf numFmtId="164" fontId="4" fillId="0" borderId="0" xfId="1" applyNumberFormat="1" applyFont="1" applyAlignment="1"/>
    <xf numFmtId="164" fontId="0" fillId="0" borderId="0" xfId="1" applyNumberFormat="1" applyFont="1" applyAlignment="1">
      <alignment horizontal="justify" wrapText="1"/>
    </xf>
    <xf numFmtId="164" fontId="0" fillId="0" borderId="0" xfId="1" applyNumberFormat="1" applyFont="1" applyAlignment="1">
      <alignment wrapText="1"/>
    </xf>
    <xf numFmtId="0" fontId="2" fillId="4" borderId="0" xfId="0" applyFont="1" applyFill="1"/>
    <xf numFmtId="164" fontId="2" fillId="4" borderId="0" xfId="1" applyNumberFormat="1" applyFont="1" applyFill="1" applyBorder="1"/>
    <xf numFmtId="164" fontId="0" fillId="4" borderId="0" xfId="1" applyNumberFormat="1" applyFont="1" applyFill="1" applyBorder="1"/>
    <xf numFmtId="164" fontId="1" fillId="4" borderId="0" xfId="1" applyNumberFormat="1" applyFont="1" applyFill="1" applyBorder="1"/>
    <xf numFmtId="164" fontId="1" fillId="4" borderId="6" xfId="1" applyNumberFormat="1" applyFont="1" applyFill="1" applyBorder="1"/>
    <xf numFmtId="164" fontId="1" fillId="4" borderId="5" xfId="1" applyNumberFormat="1" applyFont="1" applyFill="1" applyBorder="1"/>
    <xf numFmtId="0" fontId="10" fillId="0" borderId="0" xfId="0" applyFont="1"/>
    <xf numFmtId="164" fontId="0" fillId="0" borderId="0" xfId="1" applyNumberFormat="1" applyFont="1" applyFill="1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43" fontId="0" fillId="0" borderId="10" xfId="1" applyFont="1" applyBorder="1"/>
    <xf numFmtId="164" fontId="0" fillId="0" borderId="11" xfId="1" applyNumberFormat="1" applyFont="1" applyBorder="1"/>
    <xf numFmtId="43" fontId="0" fillId="0" borderId="12" xfId="1" applyFont="1" applyBorder="1"/>
    <xf numFmtId="164" fontId="0" fillId="0" borderId="11" xfId="1" applyNumberFormat="1" applyFont="1" applyFill="1" applyBorder="1"/>
    <xf numFmtId="164" fontId="0" fillId="0" borderId="13" xfId="1" applyNumberFormat="1" applyFont="1" applyBorder="1"/>
    <xf numFmtId="43" fontId="0" fillId="0" borderId="14" xfId="1" applyFont="1" applyBorder="1"/>
    <xf numFmtId="164" fontId="2" fillId="0" borderId="5" xfId="1" applyNumberFormat="1" applyFont="1" applyBorder="1"/>
    <xf numFmtId="0" fontId="0" fillId="0" borderId="0" xfId="0" applyAlignment="1">
      <alignment horizontal="justify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s\Accounts%20(Dinesh)\Loan%20BML\CASH%20and%20CREDIT%20Sa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g 20"/>
      <sheetName val="Sep 20"/>
      <sheetName val="Oct 20"/>
      <sheetName val="Noc 20"/>
      <sheetName val="Dec 20"/>
      <sheetName val="Jan 21"/>
      <sheetName val="Feb 21"/>
      <sheetName val="March 21"/>
      <sheetName val="April 21"/>
      <sheetName val="May 21"/>
      <sheetName val="Sheet11"/>
    </sheetNames>
    <sheetDataSet>
      <sheetData sheetId="0">
        <row r="2369">
          <cell r="O2369">
            <v>2961647.1999999932</v>
          </cell>
        </row>
        <row r="2448">
          <cell r="O2448">
            <v>470121.29000000004</v>
          </cell>
        </row>
      </sheetData>
      <sheetData sheetId="1">
        <row r="2525">
          <cell r="P2525">
            <v>2502959.4499999997</v>
          </cell>
        </row>
        <row r="2652">
          <cell r="P2652">
            <v>377539.81</v>
          </cell>
        </row>
      </sheetData>
      <sheetData sheetId="2">
        <row r="2441">
          <cell r="P2441">
            <v>3191094.9199999855</v>
          </cell>
        </row>
        <row r="2551">
          <cell r="P2551">
            <v>475674.98000000004</v>
          </cell>
        </row>
      </sheetData>
      <sheetData sheetId="3">
        <row r="2360">
          <cell r="P2360">
            <v>2830819.7599999979</v>
          </cell>
        </row>
        <row r="2462">
          <cell r="P2462">
            <v>407554.89000000019</v>
          </cell>
        </row>
      </sheetData>
      <sheetData sheetId="4">
        <row r="2254">
          <cell r="O2254">
            <v>2120321.27</v>
          </cell>
        </row>
        <row r="2353">
          <cell r="O2353">
            <v>330119.39000000031</v>
          </cell>
        </row>
      </sheetData>
      <sheetData sheetId="5">
        <row r="2500">
          <cell r="O2500">
            <v>3382781.070000004</v>
          </cell>
        </row>
        <row r="2609">
          <cell r="O2609">
            <v>339059.98</v>
          </cell>
        </row>
      </sheetData>
      <sheetData sheetId="6">
        <row r="1739">
          <cell r="O1739">
            <v>1788279.0499999989</v>
          </cell>
        </row>
        <row r="1817">
          <cell r="O1817">
            <v>341466.87000000005</v>
          </cell>
        </row>
      </sheetData>
      <sheetData sheetId="7">
        <row r="1980">
          <cell r="O1980">
            <v>2024247.4300000018</v>
          </cell>
        </row>
        <row r="2074">
          <cell r="O2074">
            <v>302391.25000000017</v>
          </cell>
        </row>
      </sheetData>
      <sheetData sheetId="8">
        <row r="2146">
          <cell r="O2146">
            <v>3284272.4099999936</v>
          </cell>
        </row>
        <row r="2255">
          <cell r="O2255">
            <v>559015.75000000023</v>
          </cell>
        </row>
      </sheetData>
      <sheetData sheetId="9">
        <row r="82">
          <cell r="P82">
            <v>478973.33</v>
          </cell>
        </row>
        <row r="2438">
          <cell r="P2438">
            <v>2679462.9499999969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C106"/>
  <sheetViews>
    <sheetView tabSelected="1" workbookViewId="0">
      <pane xSplit="2" ySplit="6" topLeftCell="E7" activePane="bottomRight" state="frozen"/>
      <selection pane="bottomRight" activeCell="B59" sqref="B59"/>
      <selection pane="bottomLeft" activeCell="A7" sqref="A7"/>
      <selection pane="topRight" activeCell="C1" sqref="C1"/>
    </sheetView>
  </sheetViews>
  <sheetFormatPr defaultRowHeight="14.45"/>
  <cols>
    <col min="2" max="2" width="37.5703125" customWidth="1"/>
    <col min="3" max="14" width="12.42578125" customWidth="1"/>
    <col min="15" max="15" width="1" customWidth="1"/>
    <col min="16" max="16" width="12.42578125" customWidth="1"/>
    <col min="18" max="18" width="11.5703125" bestFit="1" customWidth="1"/>
    <col min="19" max="23" width="13.28515625" bestFit="1" customWidth="1"/>
    <col min="24" max="24" width="11.5703125" bestFit="1" customWidth="1"/>
    <col min="25" max="25" width="13.28515625" bestFit="1" customWidth="1"/>
    <col min="26" max="27" width="11.5703125" bestFit="1" customWidth="1"/>
    <col min="28" max="28" width="13.28515625" bestFit="1" customWidth="1"/>
    <col min="29" max="29" width="11.5703125" bestFit="1" customWidth="1"/>
  </cols>
  <sheetData>
    <row r="2" spans="2:18">
      <c r="B2" s="2"/>
    </row>
    <row r="3" spans="2:18">
      <c r="B3" s="2" t="s">
        <v>0</v>
      </c>
      <c r="E3" s="34"/>
      <c r="F3" s="34"/>
    </row>
    <row r="5" spans="2:18" s="3" customFormat="1" ht="15" thickBot="1">
      <c r="B5" s="4"/>
      <c r="C5" s="5">
        <v>43831</v>
      </c>
      <c r="D5" s="5">
        <v>43862</v>
      </c>
      <c r="E5" s="5">
        <v>43891</v>
      </c>
      <c r="F5" s="5">
        <v>43922</v>
      </c>
      <c r="G5" s="5">
        <v>43952</v>
      </c>
      <c r="H5" s="5">
        <v>43983</v>
      </c>
      <c r="I5" s="5">
        <v>44013</v>
      </c>
      <c r="J5" s="5">
        <v>44044</v>
      </c>
      <c r="K5" s="5">
        <v>44075</v>
      </c>
      <c r="L5" s="5">
        <v>44105</v>
      </c>
      <c r="M5" s="5">
        <v>44136</v>
      </c>
      <c r="N5" s="5">
        <v>44166</v>
      </c>
      <c r="P5" s="25" t="s">
        <v>1</v>
      </c>
    </row>
    <row r="6" spans="2:18" ht="15" thickTop="1">
      <c r="P6" s="26"/>
    </row>
    <row r="7" spans="2:18">
      <c r="B7" s="1" t="s">
        <v>2</v>
      </c>
      <c r="P7" s="26"/>
    </row>
    <row r="8" spans="2:18">
      <c r="B8" t="s">
        <v>3</v>
      </c>
      <c r="C8" s="8">
        <v>3518452</v>
      </c>
      <c r="D8" s="8">
        <v>3872238</v>
      </c>
      <c r="E8" s="8">
        <f>+E78</f>
        <v>2961647.1999999932</v>
      </c>
      <c r="F8" s="8">
        <f>+F78</f>
        <v>2502959.4499999997</v>
      </c>
      <c r="G8" s="8">
        <f>+G78</f>
        <v>3191094.9199999855</v>
      </c>
      <c r="H8" s="8">
        <f t="shared" ref="H8:N8" si="0">+H78</f>
        <v>2830819.7599999979</v>
      </c>
      <c r="I8" s="8">
        <f t="shared" si="0"/>
        <v>2120321.27</v>
      </c>
      <c r="J8" s="8">
        <f t="shared" si="0"/>
        <v>3382781.070000004</v>
      </c>
      <c r="K8" s="8">
        <f t="shared" si="0"/>
        <v>1788279.0499999989</v>
      </c>
      <c r="L8" s="8">
        <f t="shared" si="0"/>
        <v>2024247.4300000018</v>
      </c>
      <c r="M8" s="8">
        <f t="shared" si="0"/>
        <v>3284272.4099999936</v>
      </c>
      <c r="N8" s="8">
        <f t="shared" si="0"/>
        <v>2679462.9499999969</v>
      </c>
      <c r="P8" s="27">
        <f>SUM(C8:N8)</f>
        <v>34156575.509999968</v>
      </c>
    </row>
    <row r="9" spans="2:18">
      <c r="B9" t="s">
        <v>4</v>
      </c>
      <c r="C9" s="8">
        <v>396755</v>
      </c>
      <c r="D9" s="8">
        <v>194635</v>
      </c>
      <c r="E9" s="8">
        <v>418135</v>
      </c>
      <c r="F9" s="8">
        <v>377112</v>
      </c>
      <c r="G9" s="8">
        <f>+G86</f>
        <v>190951.31999999995</v>
      </c>
      <c r="H9" s="8">
        <f t="shared" ref="H9:N9" si="1">+H86</f>
        <v>412410.28000000026</v>
      </c>
      <c r="I9" s="8">
        <f t="shared" si="1"/>
        <v>449435.27000000037</v>
      </c>
      <c r="J9" s="8">
        <f t="shared" si="1"/>
        <v>484831.72</v>
      </c>
      <c r="K9" s="8">
        <f t="shared" si="1"/>
        <v>250151.61</v>
      </c>
      <c r="L9" s="8">
        <f t="shared" si="1"/>
        <v>389271.02000000014</v>
      </c>
      <c r="M9" s="8">
        <f t="shared" si="1"/>
        <v>383379.38000000024</v>
      </c>
      <c r="N9" s="8">
        <f t="shared" si="1"/>
        <v>370194.1100000001</v>
      </c>
      <c r="P9" s="27">
        <f t="shared" ref="P9:P11" si="2">SUM(C9:N9)</f>
        <v>4317261.7100000009</v>
      </c>
    </row>
    <row r="10" spans="2:18">
      <c r="B10" t="s">
        <v>5</v>
      </c>
      <c r="C10" s="8">
        <v>5911.86</v>
      </c>
      <c r="D10" s="8">
        <v>9891.42</v>
      </c>
      <c r="E10" s="8">
        <v>2413</v>
      </c>
      <c r="F10" s="8">
        <v>2430.4699999999998</v>
      </c>
      <c r="G10" s="8">
        <v>2362</v>
      </c>
      <c r="H10" s="8">
        <v>2707.15</v>
      </c>
      <c r="I10" s="8">
        <v>2172.16</v>
      </c>
      <c r="J10" s="8">
        <v>1879.45</v>
      </c>
      <c r="K10" s="8">
        <v>1693.36</v>
      </c>
      <c r="L10" s="8">
        <v>2045.93</v>
      </c>
      <c r="M10" s="8">
        <v>3748.51</v>
      </c>
      <c r="N10" s="8">
        <v>2318.63</v>
      </c>
      <c r="P10" s="27">
        <f t="shared" si="2"/>
        <v>39573.94</v>
      </c>
    </row>
    <row r="11" spans="2:18">
      <c r="B11" t="s">
        <v>6</v>
      </c>
      <c r="C11" s="9">
        <v>1000000</v>
      </c>
      <c r="D11" s="9">
        <v>500000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3000000</v>
      </c>
      <c r="L11" s="9">
        <v>0</v>
      </c>
      <c r="M11" s="9">
        <v>0</v>
      </c>
      <c r="N11" s="9">
        <v>0</v>
      </c>
      <c r="P11" s="27">
        <f t="shared" si="2"/>
        <v>4500000</v>
      </c>
    </row>
    <row r="12" spans="2:18" ht="15" thickBot="1">
      <c r="B12" s="2" t="s">
        <v>7</v>
      </c>
      <c r="C12" s="7">
        <f>SUM(C8:C11)</f>
        <v>4921118.8599999994</v>
      </c>
      <c r="D12" s="7">
        <f t="shared" ref="D12:P12" si="3">SUM(D8:D11)</f>
        <v>4576764.42</v>
      </c>
      <c r="E12" s="7">
        <f t="shared" si="3"/>
        <v>3382195.1999999932</v>
      </c>
      <c r="F12" s="7">
        <f t="shared" si="3"/>
        <v>2882501.92</v>
      </c>
      <c r="G12" s="7">
        <f t="shared" si="3"/>
        <v>3384408.2399999853</v>
      </c>
      <c r="H12" s="7">
        <f t="shared" si="3"/>
        <v>3245937.1899999981</v>
      </c>
      <c r="I12" s="7">
        <f t="shared" si="3"/>
        <v>2571928.7000000007</v>
      </c>
      <c r="J12" s="7">
        <f t="shared" si="3"/>
        <v>3869492.2400000039</v>
      </c>
      <c r="K12" s="7">
        <f t="shared" si="3"/>
        <v>5040124.0199999986</v>
      </c>
      <c r="L12" s="7">
        <f t="shared" si="3"/>
        <v>2415564.3800000022</v>
      </c>
      <c r="M12" s="7">
        <f t="shared" si="3"/>
        <v>3671400.2999999938</v>
      </c>
      <c r="N12" s="7">
        <f t="shared" si="3"/>
        <v>3051975.6899999967</v>
      </c>
      <c r="P12" s="28">
        <f t="shared" si="3"/>
        <v>43013411.159999967</v>
      </c>
    </row>
    <row r="13" spans="2:18" ht="15" thickTop="1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P13" s="29"/>
    </row>
    <row r="14" spans="2:18">
      <c r="B14" s="1" t="s">
        <v>8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P14" s="29"/>
    </row>
    <row r="15" spans="2:18">
      <c r="B15" s="1" t="s">
        <v>9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P15" s="29"/>
    </row>
    <row r="16" spans="2:18">
      <c r="B16" t="s">
        <v>10</v>
      </c>
      <c r="C16" s="33">
        <v>1775116</v>
      </c>
      <c r="D16" s="33">
        <v>4028097</v>
      </c>
      <c r="E16" s="33">
        <v>610358</v>
      </c>
      <c r="F16" s="33">
        <v>2121450</v>
      </c>
      <c r="G16" s="33">
        <v>3316464.5500000003</v>
      </c>
      <c r="H16" s="33">
        <v>1175712.5999999999</v>
      </c>
      <c r="I16" s="33">
        <v>1960894.1099999999</v>
      </c>
      <c r="J16" s="33">
        <v>626106.92000000016</v>
      </c>
      <c r="K16" s="33">
        <v>2217600.16</v>
      </c>
      <c r="L16" s="33">
        <v>3896810.77</v>
      </c>
      <c r="M16" s="33">
        <v>2915238.75</v>
      </c>
      <c r="N16" s="33">
        <v>1991624.14</v>
      </c>
      <c r="P16" s="27">
        <f t="shared" ref="P16:P35" si="4">SUM(C16:N16)</f>
        <v>26635473</v>
      </c>
      <c r="R16" s="36">
        <f>+P16/(P8+P9+P10)</f>
        <v>0.69158955796840982</v>
      </c>
    </row>
    <row r="17" spans="2:16">
      <c r="B17" t="s">
        <v>11</v>
      </c>
      <c r="C17" s="8">
        <v>130932</v>
      </c>
      <c r="D17" s="8">
        <v>386191</v>
      </c>
      <c r="E17" s="8">
        <v>270891</v>
      </c>
      <c r="F17" s="8">
        <v>7430</v>
      </c>
      <c r="G17" s="8">
        <v>304188</v>
      </c>
      <c r="H17" s="8">
        <v>268815</v>
      </c>
      <c r="I17" s="8">
        <v>88612</v>
      </c>
      <c r="J17" s="8">
        <v>234526</v>
      </c>
      <c r="K17" s="8">
        <v>88948</v>
      </c>
      <c r="L17" s="8">
        <v>331030</v>
      </c>
      <c r="M17" s="8">
        <v>516218</v>
      </c>
      <c r="N17" s="8">
        <v>109281</v>
      </c>
      <c r="P17" s="27">
        <f t="shared" si="4"/>
        <v>2737062</v>
      </c>
    </row>
    <row r="18" spans="2:16">
      <c r="B18" t="s">
        <v>12</v>
      </c>
      <c r="C18" s="8">
        <v>309500</v>
      </c>
      <c r="D18" s="8">
        <v>400000</v>
      </c>
      <c r="E18" s="8">
        <v>380000</v>
      </c>
      <c r="F18" s="8">
        <v>400000</v>
      </c>
      <c r="G18" s="8">
        <v>352000</v>
      </c>
      <c r="H18" s="8">
        <v>553422.67000000004</v>
      </c>
      <c r="I18" s="8">
        <v>410000</v>
      </c>
      <c r="J18" s="8">
        <v>387000</v>
      </c>
      <c r="K18" s="8">
        <v>407322.58</v>
      </c>
      <c r="L18" s="8">
        <v>402000</v>
      </c>
      <c r="M18" s="8">
        <v>402000</v>
      </c>
      <c r="N18" s="8">
        <v>402000</v>
      </c>
      <c r="P18" s="27">
        <f t="shared" si="4"/>
        <v>4805245.25</v>
      </c>
    </row>
    <row r="19" spans="2:16">
      <c r="B19" t="s">
        <v>13</v>
      </c>
      <c r="C19" s="8">
        <v>9947.1299999999992</v>
      </c>
      <c r="D19" s="8">
        <v>7511.01</v>
      </c>
      <c r="E19" s="8">
        <v>7394.6</v>
      </c>
      <c r="F19" s="8">
        <v>10395.620000000001</v>
      </c>
      <c r="G19" s="8">
        <v>7842.05</v>
      </c>
      <c r="H19" s="8">
        <v>11878.85</v>
      </c>
      <c r="I19" s="8">
        <v>10742.33</v>
      </c>
      <c r="J19" s="8">
        <v>9136.39</v>
      </c>
      <c r="K19" s="8">
        <v>9211.91</v>
      </c>
      <c r="L19" s="8">
        <v>8378.9599999999991</v>
      </c>
      <c r="M19" s="8">
        <v>10791.69</v>
      </c>
      <c r="N19" s="8">
        <v>9672.65</v>
      </c>
      <c r="P19" s="27">
        <f t="shared" si="4"/>
        <v>112903.19</v>
      </c>
    </row>
    <row r="20" spans="2:16">
      <c r="B20" t="s">
        <v>14</v>
      </c>
      <c r="C20" s="8">
        <v>7637.65</v>
      </c>
      <c r="D20" s="8">
        <v>7706.71</v>
      </c>
      <c r="E20" s="8">
        <v>11548.099999999999</v>
      </c>
      <c r="F20" s="8">
        <v>10668.68</v>
      </c>
      <c r="G20" s="8">
        <v>10225.220000000001</v>
      </c>
      <c r="H20" s="8">
        <v>15485.7</v>
      </c>
      <c r="I20" s="8">
        <v>11220.82</v>
      </c>
      <c r="J20" s="8">
        <v>10353.630000000001</v>
      </c>
      <c r="K20" s="8">
        <v>9735.42</v>
      </c>
      <c r="L20" s="8">
        <v>10568.880000000001</v>
      </c>
      <c r="M20" s="8">
        <v>14917.73</v>
      </c>
      <c r="N20" s="8">
        <v>14777.92</v>
      </c>
      <c r="P20" s="27">
        <f t="shared" si="4"/>
        <v>134846.46000000002</v>
      </c>
    </row>
    <row r="21" spans="2:16">
      <c r="B21" t="s">
        <v>15</v>
      </c>
      <c r="C21" s="8">
        <v>132195.70000000001</v>
      </c>
      <c r="D21" s="8">
        <v>159763.07</v>
      </c>
      <c r="E21" s="8">
        <v>190574.24</v>
      </c>
      <c r="F21" s="8">
        <v>193182.66</v>
      </c>
      <c r="G21" s="8">
        <v>177207</v>
      </c>
      <c r="H21" s="8">
        <v>193250.55</v>
      </c>
      <c r="I21" s="8">
        <v>179285</v>
      </c>
      <c r="J21" s="8">
        <v>180995.82</v>
      </c>
      <c r="K21" s="8">
        <v>199213.5</v>
      </c>
      <c r="L21" s="8">
        <v>202394</v>
      </c>
      <c r="M21" s="8">
        <v>281245</v>
      </c>
      <c r="N21" s="8">
        <v>219666</v>
      </c>
      <c r="P21" s="27">
        <f t="shared" si="4"/>
        <v>2308972.54</v>
      </c>
    </row>
    <row r="22" spans="2:16">
      <c r="B22" t="s">
        <v>16</v>
      </c>
      <c r="C22" s="8">
        <v>112000</v>
      </c>
      <c r="D22" s="8">
        <v>112000</v>
      </c>
      <c r="E22" s="8">
        <v>112000</v>
      </c>
      <c r="F22" s="8">
        <v>112000</v>
      </c>
      <c r="G22" s="8">
        <v>112000</v>
      </c>
      <c r="H22" s="8">
        <v>40000</v>
      </c>
      <c r="I22" s="8">
        <v>184000</v>
      </c>
      <c r="J22" s="8">
        <v>112000</v>
      </c>
      <c r="K22" s="8">
        <v>112000</v>
      </c>
      <c r="L22" s="8">
        <v>112000</v>
      </c>
      <c r="M22" s="8">
        <v>112000</v>
      </c>
      <c r="N22" s="8">
        <v>112000</v>
      </c>
      <c r="P22" s="27">
        <f t="shared" si="4"/>
        <v>1344000</v>
      </c>
    </row>
    <row r="23" spans="2:16">
      <c r="B23" t="s">
        <v>17</v>
      </c>
      <c r="C23" s="33">
        <v>12140.47</v>
      </c>
      <c r="D23" s="33">
        <v>7817.73</v>
      </c>
      <c r="E23" s="33">
        <v>15831.83</v>
      </c>
      <c r="F23" s="33">
        <v>23362.149999999998</v>
      </c>
      <c r="G23" s="33">
        <v>58382.84</v>
      </c>
      <c r="H23" s="33">
        <v>10904.99</v>
      </c>
      <c r="I23" s="33">
        <v>45379.11</v>
      </c>
      <c r="J23" s="33">
        <v>11219.380000000001</v>
      </c>
      <c r="K23" s="33">
        <v>17087.09</v>
      </c>
      <c r="L23" s="33">
        <v>32816.58</v>
      </c>
      <c r="M23" s="33">
        <v>18555.120000000003</v>
      </c>
      <c r="N23" s="33">
        <v>10456.51</v>
      </c>
      <c r="P23" s="27">
        <f t="shared" si="4"/>
        <v>263953.8</v>
      </c>
    </row>
    <row r="24" spans="2:16">
      <c r="B24" t="s">
        <v>18</v>
      </c>
      <c r="C24" s="8">
        <v>16988.93</v>
      </c>
      <c r="D24" s="8">
        <v>28434.799999999999</v>
      </c>
      <c r="E24" s="8">
        <v>21593.89</v>
      </c>
      <c r="F24" s="8">
        <v>14504.96</v>
      </c>
      <c r="G24" s="8">
        <v>13627.05</v>
      </c>
      <c r="H24" s="8">
        <v>18492.919999999998</v>
      </c>
      <c r="I24" s="8">
        <v>10515.21</v>
      </c>
      <c r="J24" s="8">
        <v>12310</v>
      </c>
      <c r="K24" s="8">
        <v>8700</v>
      </c>
      <c r="L24" s="8">
        <v>29191.83</v>
      </c>
      <c r="M24" s="8">
        <v>10438.959999999999</v>
      </c>
      <c r="N24" s="8">
        <v>10885</v>
      </c>
      <c r="P24" s="27">
        <f t="shared" si="4"/>
        <v>195683.54999999996</v>
      </c>
    </row>
    <row r="25" spans="2:16">
      <c r="B25" t="s">
        <v>19</v>
      </c>
      <c r="C25" s="8">
        <v>4000</v>
      </c>
      <c r="D25" s="8">
        <v>3000</v>
      </c>
      <c r="E25" s="8">
        <v>0</v>
      </c>
      <c r="F25" s="8">
        <v>4504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P25" s="27">
        <f t="shared" si="4"/>
        <v>11504</v>
      </c>
    </row>
    <row r="26" spans="2:16">
      <c r="B26" t="s">
        <v>20</v>
      </c>
      <c r="C26" s="8">
        <v>37956.639999999999</v>
      </c>
      <c r="D26" s="8">
        <v>4941.2</v>
      </c>
      <c r="E26" s="8">
        <v>3901.52</v>
      </c>
      <c r="F26" s="8">
        <v>81586.02</v>
      </c>
      <c r="G26" s="8">
        <v>69014.98</v>
      </c>
      <c r="H26" s="8">
        <v>14776.09</v>
      </c>
      <c r="I26" s="8">
        <v>5211.97</v>
      </c>
      <c r="J26" s="8">
        <v>67721.570000000007</v>
      </c>
      <c r="K26" s="8">
        <v>4721.05</v>
      </c>
      <c r="L26" s="8">
        <v>41441.15</v>
      </c>
      <c r="M26" s="8">
        <v>108725.51</v>
      </c>
      <c r="N26" s="8">
        <v>42230.85</v>
      </c>
      <c r="P26" s="27">
        <f t="shared" si="4"/>
        <v>482228.55</v>
      </c>
    </row>
    <row r="27" spans="2:16">
      <c r="B27" t="s">
        <v>21</v>
      </c>
      <c r="C27" s="8">
        <v>7500</v>
      </c>
      <c r="D27" s="8">
        <v>4200</v>
      </c>
      <c r="E27" s="8">
        <v>1500</v>
      </c>
      <c r="F27" s="8">
        <v>5850</v>
      </c>
      <c r="G27" s="8">
        <v>9750</v>
      </c>
      <c r="H27" s="8">
        <v>3750</v>
      </c>
      <c r="I27" s="8">
        <v>9215</v>
      </c>
      <c r="J27" s="8">
        <v>4900</v>
      </c>
      <c r="K27" s="8">
        <v>6400</v>
      </c>
      <c r="L27" s="8">
        <v>8300</v>
      </c>
      <c r="M27" s="8">
        <v>6975</v>
      </c>
      <c r="N27" s="8">
        <v>2900</v>
      </c>
      <c r="P27" s="27">
        <f t="shared" si="4"/>
        <v>71240</v>
      </c>
    </row>
    <row r="28" spans="2:16">
      <c r="B28" t="s">
        <v>22</v>
      </c>
      <c r="C28" s="8">
        <v>3990</v>
      </c>
      <c r="D28" s="8">
        <v>3990</v>
      </c>
      <c r="E28" s="8">
        <v>4550</v>
      </c>
      <c r="F28" s="8">
        <v>4550</v>
      </c>
      <c r="G28" s="8">
        <v>4550</v>
      </c>
      <c r="H28" s="8">
        <v>4550</v>
      </c>
      <c r="I28" s="8">
        <v>5121.62</v>
      </c>
      <c r="J28" s="8">
        <v>5320</v>
      </c>
      <c r="K28" s="8">
        <v>7490</v>
      </c>
      <c r="L28" s="8">
        <v>7490</v>
      </c>
      <c r="M28" s="8">
        <v>7490</v>
      </c>
      <c r="N28" s="8">
        <v>7490</v>
      </c>
      <c r="P28" s="27">
        <f t="shared" si="4"/>
        <v>66581.62</v>
      </c>
    </row>
    <row r="29" spans="2:16">
      <c r="B29" t="s">
        <v>23</v>
      </c>
      <c r="C29" s="8">
        <v>12531.61</v>
      </c>
      <c r="D29" s="8">
        <v>4292.34</v>
      </c>
      <c r="E29" s="8">
        <v>15720.99</v>
      </c>
      <c r="F29" s="8">
        <v>36390.879999999997</v>
      </c>
      <c r="G29" s="8">
        <v>10676.74</v>
      </c>
      <c r="H29" s="8">
        <v>7144.51</v>
      </c>
      <c r="I29" s="8">
        <v>226.5</v>
      </c>
      <c r="J29" s="8">
        <v>8647.7800000000007</v>
      </c>
      <c r="K29" s="8">
        <v>8597.6200000000008</v>
      </c>
      <c r="L29" s="8">
        <v>10333.66</v>
      </c>
      <c r="M29" s="8">
        <v>21706.14</v>
      </c>
      <c r="N29" s="8">
        <v>1330.27</v>
      </c>
      <c r="P29" s="27">
        <f t="shared" si="4"/>
        <v>137599.04000000001</v>
      </c>
    </row>
    <row r="30" spans="2:16">
      <c r="B30" t="s">
        <v>24</v>
      </c>
      <c r="C30" s="8">
        <v>8682.18</v>
      </c>
      <c r="D30" s="8">
        <v>5412.87</v>
      </c>
      <c r="E30" s="8">
        <v>2607.2600000000002</v>
      </c>
      <c r="F30" s="8">
        <v>5779.27</v>
      </c>
      <c r="G30" s="8">
        <v>5496.64</v>
      </c>
      <c r="H30" s="8">
        <v>8150.76</v>
      </c>
      <c r="I30" s="8">
        <v>2100.12</v>
      </c>
      <c r="J30" s="8">
        <v>0</v>
      </c>
      <c r="K30" s="8">
        <v>13111.97</v>
      </c>
      <c r="L30" s="8">
        <v>8808.59</v>
      </c>
      <c r="M30" s="8">
        <v>7172.62</v>
      </c>
      <c r="N30" s="8">
        <v>0</v>
      </c>
      <c r="P30" s="27">
        <f t="shared" si="4"/>
        <v>67322.28</v>
      </c>
    </row>
    <row r="31" spans="2:16">
      <c r="B31" t="s">
        <v>25</v>
      </c>
      <c r="C31" s="8">
        <v>50490.82</v>
      </c>
      <c r="D31" s="8">
        <v>37680.58</v>
      </c>
      <c r="E31" s="8">
        <v>14249.05</v>
      </c>
      <c r="F31" s="8">
        <v>22653.38</v>
      </c>
      <c r="G31" s="8">
        <v>30614.82</v>
      </c>
      <c r="H31" s="8">
        <v>15720.01</v>
      </c>
      <c r="I31" s="8">
        <v>26484.15</v>
      </c>
      <c r="J31" s="8">
        <v>4682.8599999999997</v>
      </c>
      <c r="K31" s="8">
        <v>66303.72</v>
      </c>
      <c r="L31" s="8">
        <v>36226.54</v>
      </c>
      <c r="M31" s="8">
        <v>18485.34</v>
      </c>
      <c r="N31" s="8">
        <v>14672.27</v>
      </c>
      <c r="P31" s="27">
        <f t="shared" si="4"/>
        <v>338263.54000000004</v>
      </c>
    </row>
    <row r="32" spans="2:16">
      <c r="B32" t="s">
        <v>26</v>
      </c>
      <c r="C32" s="8">
        <v>0</v>
      </c>
      <c r="D32" s="8">
        <v>0</v>
      </c>
      <c r="E32" s="8">
        <v>750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187.5</v>
      </c>
      <c r="N32" s="8">
        <v>105</v>
      </c>
      <c r="P32" s="27">
        <f t="shared" si="4"/>
        <v>1042.5</v>
      </c>
    </row>
    <row r="33" spans="2:29">
      <c r="B33" t="s">
        <v>27</v>
      </c>
      <c r="C33" s="8">
        <v>245440</v>
      </c>
      <c r="D33" s="8">
        <v>249630</v>
      </c>
      <c r="E33" s="8">
        <v>333800</v>
      </c>
      <c r="F33" s="8">
        <v>218437.04</v>
      </c>
      <c r="G33" s="8">
        <v>257760</v>
      </c>
      <c r="H33" s="8">
        <v>186160</v>
      </c>
      <c r="I33" s="8">
        <v>68706.389999999985</v>
      </c>
      <c r="J33" s="8">
        <v>186001.6</v>
      </c>
      <c r="K33" s="8">
        <v>89242.55</v>
      </c>
      <c r="L33" s="8">
        <v>4623.55</v>
      </c>
      <c r="M33" s="8">
        <v>0</v>
      </c>
      <c r="N33" s="8">
        <v>0</v>
      </c>
      <c r="P33" s="27">
        <f t="shared" si="4"/>
        <v>1839801.1300000001</v>
      </c>
    </row>
    <row r="34" spans="2:29">
      <c r="B34" t="s">
        <v>28</v>
      </c>
      <c r="C34" s="33">
        <v>0</v>
      </c>
      <c r="D34" s="33">
        <v>0</v>
      </c>
      <c r="E34" s="33">
        <v>0</v>
      </c>
      <c r="F34" s="33">
        <v>0</v>
      </c>
      <c r="G34" s="33">
        <f>49763+119608</f>
        <v>169371</v>
      </c>
      <c r="H34" s="33">
        <v>0</v>
      </c>
      <c r="I34" s="33">
        <v>0</v>
      </c>
      <c r="J34" s="33">
        <v>279284</v>
      </c>
      <c r="K34" s="33">
        <v>0</v>
      </c>
      <c r="L34" s="33">
        <v>0</v>
      </c>
      <c r="M34" s="33">
        <v>0</v>
      </c>
      <c r="N34" s="33">
        <v>0</v>
      </c>
      <c r="P34" s="27">
        <f t="shared" si="4"/>
        <v>448655</v>
      </c>
    </row>
    <row r="35" spans="2:29">
      <c r="B35" t="s">
        <v>29</v>
      </c>
      <c r="C35" s="8">
        <v>0</v>
      </c>
      <c r="D35" s="8">
        <v>0</v>
      </c>
      <c r="E35" s="8">
        <v>0</v>
      </c>
      <c r="F35" s="8">
        <v>33994.870000000003</v>
      </c>
      <c r="G35" s="8">
        <v>0</v>
      </c>
      <c r="H35" s="8">
        <v>26870.5</v>
      </c>
      <c r="I35" s="8">
        <v>18859.099999999999</v>
      </c>
      <c r="J35" s="8">
        <v>0</v>
      </c>
      <c r="K35" s="8">
        <v>18830.23</v>
      </c>
      <c r="L35" s="8">
        <v>0</v>
      </c>
      <c r="M35" s="8">
        <v>32341.279999999999</v>
      </c>
      <c r="N35" s="8">
        <v>0</v>
      </c>
      <c r="P35" s="27">
        <f t="shared" si="4"/>
        <v>130895.98</v>
      </c>
    </row>
    <row r="36" spans="2:29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P36" s="29"/>
    </row>
    <row r="37" spans="2:29" ht="15" thickBot="1">
      <c r="B37" s="2" t="s">
        <v>30</v>
      </c>
      <c r="C37" s="10">
        <f>SUM(C16:C36)</f>
        <v>2877049.1300000004</v>
      </c>
      <c r="D37" s="10">
        <f t="shared" ref="D37:N37" si="5">SUM(D16:D36)</f>
        <v>5450668.3100000005</v>
      </c>
      <c r="E37" s="10">
        <f t="shared" si="5"/>
        <v>1997270.4800000002</v>
      </c>
      <c r="F37" s="10">
        <f t="shared" si="5"/>
        <v>3306739.5300000003</v>
      </c>
      <c r="G37" s="10">
        <f t="shared" si="5"/>
        <v>4909170.8900000006</v>
      </c>
      <c r="H37" s="10">
        <f t="shared" si="5"/>
        <v>2555085.1499999994</v>
      </c>
      <c r="I37" s="10">
        <f t="shared" si="5"/>
        <v>3036573.43</v>
      </c>
      <c r="J37" s="10">
        <f t="shared" si="5"/>
        <v>2140205.9500000002</v>
      </c>
      <c r="K37" s="10">
        <f t="shared" si="5"/>
        <v>3284515.8000000003</v>
      </c>
      <c r="L37" s="10">
        <f t="shared" si="5"/>
        <v>5142414.51</v>
      </c>
      <c r="M37" s="10">
        <f t="shared" si="5"/>
        <v>4484488.6399999997</v>
      </c>
      <c r="N37" s="10">
        <f t="shared" si="5"/>
        <v>2949091.6099999994</v>
      </c>
      <c r="P37" s="30">
        <f>SUM(P16:P36)</f>
        <v>42133273.429999985</v>
      </c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2:29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P38" s="27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</row>
    <row r="39" spans="2:29" ht="15" thickBot="1">
      <c r="B39" s="2" t="s">
        <v>31</v>
      </c>
      <c r="C39" s="10">
        <f t="shared" ref="C39:N39" si="6">+C12-C37</f>
        <v>2044069.7299999991</v>
      </c>
      <c r="D39" s="10">
        <f t="shared" si="6"/>
        <v>-873903.8900000006</v>
      </c>
      <c r="E39" s="10">
        <f t="shared" si="6"/>
        <v>1384924.719999993</v>
      </c>
      <c r="F39" s="10">
        <f t="shared" si="6"/>
        <v>-424237.61000000034</v>
      </c>
      <c r="G39" s="10">
        <f t="shared" si="6"/>
        <v>-1524762.6500000153</v>
      </c>
      <c r="H39" s="10">
        <f t="shared" si="6"/>
        <v>690852.03999999864</v>
      </c>
      <c r="I39" s="10">
        <f t="shared" si="6"/>
        <v>-464644.72999999952</v>
      </c>
      <c r="J39" s="10">
        <f>+J12-J37</f>
        <v>1729286.2900000038</v>
      </c>
      <c r="K39" s="10">
        <f t="shared" si="6"/>
        <v>1755608.2199999983</v>
      </c>
      <c r="L39" s="10">
        <f t="shared" si="6"/>
        <v>-2726850.1299999976</v>
      </c>
      <c r="M39" s="10">
        <f t="shared" si="6"/>
        <v>-813088.3400000059</v>
      </c>
      <c r="N39" s="10">
        <f t="shared" si="6"/>
        <v>102884.07999999728</v>
      </c>
      <c r="P39" s="30">
        <f>+P12-P37</f>
        <v>880137.72999998182</v>
      </c>
    </row>
    <row r="40" spans="2:29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P40" s="27"/>
    </row>
    <row r="41" spans="2:29">
      <c r="B41" s="1" t="s">
        <v>32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P41" s="27"/>
    </row>
    <row r="42" spans="2:29">
      <c r="B42" t="s">
        <v>33</v>
      </c>
      <c r="C42" s="8">
        <v>0</v>
      </c>
      <c r="D42" s="8">
        <v>11887</v>
      </c>
      <c r="E42" s="8">
        <v>3623</v>
      </c>
      <c r="F42" s="8">
        <v>17619</v>
      </c>
      <c r="G42" s="32"/>
      <c r="H42" s="32"/>
      <c r="I42" s="32"/>
      <c r="J42" s="32"/>
      <c r="K42" s="32"/>
      <c r="L42" s="32"/>
      <c r="M42" s="32"/>
      <c r="N42" s="32"/>
      <c r="P42" s="27">
        <f t="shared" ref="P42:P43" si="7">SUM(C42:N42)</f>
        <v>33129</v>
      </c>
    </row>
    <row r="43" spans="2:29">
      <c r="B43" t="s">
        <v>34</v>
      </c>
      <c r="C43" s="8">
        <v>220516</v>
      </c>
      <c r="D43" s="8">
        <v>269311</v>
      </c>
      <c r="E43" s="8">
        <v>116380</v>
      </c>
      <c r="F43" s="8">
        <v>90151</v>
      </c>
      <c r="G43" s="32"/>
      <c r="H43" s="32"/>
      <c r="I43" s="32"/>
      <c r="J43" s="32"/>
      <c r="K43" s="32"/>
      <c r="L43" s="32"/>
      <c r="M43" s="32"/>
      <c r="N43" s="32"/>
      <c r="P43" s="27">
        <f t="shared" si="7"/>
        <v>696358</v>
      </c>
    </row>
    <row r="44" spans="2:29" ht="15" thickBot="1">
      <c r="B44" s="2" t="s">
        <v>35</v>
      </c>
      <c r="C44" s="10">
        <f>SUM(C42:C43)</f>
        <v>220516</v>
      </c>
      <c r="D44" s="10">
        <f t="shared" ref="D44:P44" si="8">SUM(D42:D43)</f>
        <v>281198</v>
      </c>
      <c r="E44" s="10">
        <f t="shared" si="8"/>
        <v>120003</v>
      </c>
      <c r="F44" s="10">
        <f t="shared" si="8"/>
        <v>107770</v>
      </c>
      <c r="G44" s="10">
        <f t="shared" si="8"/>
        <v>0</v>
      </c>
      <c r="H44" s="10">
        <f t="shared" si="8"/>
        <v>0</v>
      </c>
      <c r="I44" s="10">
        <f t="shared" si="8"/>
        <v>0</v>
      </c>
      <c r="J44" s="10">
        <f t="shared" si="8"/>
        <v>0</v>
      </c>
      <c r="K44" s="10">
        <f t="shared" si="8"/>
        <v>0</v>
      </c>
      <c r="L44" s="10">
        <f t="shared" si="8"/>
        <v>0</v>
      </c>
      <c r="M44" s="10">
        <f t="shared" si="8"/>
        <v>0</v>
      </c>
      <c r="N44" s="10">
        <f t="shared" si="8"/>
        <v>0</v>
      </c>
      <c r="P44" s="30">
        <f t="shared" si="8"/>
        <v>729487</v>
      </c>
    </row>
    <row r="45" spans="2:29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P45" s="27"/>
    </row>
    <row r="46" spans="2:29">
      <c r="B46" s="1" t="s">
        <v>36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P46" s="27">
        <f t="shared" ref="P46:P47" si="9">SUM(C46:N46)</f>
        <v>0</v>
      </c>
    </row>
    <row r="47" spans="2:29">
      <c r="B47" t="s">
        <v>37</v>
      </c>
      <c r="C47" s="8">
        <f>+C105</f>
        <v>36681</v>
      </c>
      <c r="D47" s="8">
        <f t="shared" ref="D47:N47" si="10">+D105</f>
        <v>0</v>
      </c>
      <c r="E47" s="8">
        <f t="shared" si="10"/>
        <v>44200</v>
      </c>
      <c r="F47" s="8">
        <f t="shared" si="10"/>
        <v>44200</v>
      </c>
      <c r="G47" s="8">
        <f t="shared" si="10"/>
        <v>44200</v>
      </c>
      <c r="H47" s="8">
        <f t="shared" si="10"/>
        <v>44200</v>
      </c>
      <c r="I47" s="8">
        <f t="shared" si="10"/>
        <v>80300</v>
      </c>
      <c r="J47" s="8">
        <f t="shared" si="10"/>
        <v>80300</v>
      </c>
      <c r="K47" s="8">
        <f t="shared" si="10"/>
        <v>80300</v>
      </c>
      <c r="L47" s="8">
        <f t="shared" si="10"/>
        <v>110875.34</v>
      </c>
      <c r="M47" s="8">
        <f t="shared" si="10"/>
        <v>180300</v>
      </c>
      <c r="N47" s="8">
        <f t="shared" si="10"/>
        <v>180300</v>
      </c>
      <c r="P47" s="27">
        <f t="shared" si="9"/>
        <v>925856.34</v>
      </c>
    </row>
    <row r="48" spans="2:29" ht="15" thickBot="1">
      <c r="B48" s="2" t="s">
        <v>38</v>
      </c>
      <c r="C48" s="10">
        <f>SUM(C47)</f>
        <v>36681</v>
      </c>
      <c r="D48" s="10">
        <f t="shared" ref="D48:P48" si="11">SUM(D47)</f>
        <v>0</v>
      </c>
      <c r="E48" s="10">
        <f t="shared" si="11"/>
        <v>44200</v>
      </c>
      <c r="F48" s="10">
        <f t="shared" si="11"/>
        <v>44200</v>
      </c>
      <c r="G48" s="10">
        <f t="shared" si="11"/>
        <v>44200</v>
      </c>
      <c r="H48" s="10">
        <f t="shared" si="11"/>
        <v>44200</v>
      </c>
      <c r="I48" s="10">
        <f t="shared" si="11"/>
        <v>80300</v>
      </c>
      <c r="J48" s="10">
        <f t="shared" si="11"/>
        <v>80300</v>
      </c>
      <c r="K48" s="10">
        <f t="shared" si="11"/>
        <v>80300</v>
      </c>
      <c r="L48" s="10">
        <f t="shared" si="11"/>
        <v>110875.34</v>
      </c>
      <c r="M48" s="10">
        <f t="shared" si="11"/>
        <v>180300</v>
      </c>
      <c r="N48" s="10">
        <f t="shared" si="11"/>
        <v>180300</v>
      </c>
      <c r="P48" s="30">
        <f t="shared" si="11"/>
        <v>925856.34</v>
      </c>
    </row>
    <row r="49" spans="2:16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P49" s="27"/>
    </row>
    <row r="50" spans="2:16" ht="15" thickBot="1">
      <c r="B50" s="2" t="s">
        <v>39</v>
      </c>
      <c r="C50" s="10">
        <f>+C39-C44-C48</f>
        <v>1786872.7299999991</v>
      </c>
      <c r="D50" s="10">
        <f>+D39-D44-D48</f>
        <v>-1155101.8900000006</v>
      </c>
      <c r="E50" s="10">
        <f t="shared" ref="E50:P50" si="12">+E39-E44-E48</f>
        <v>1220721.719999993</v>
      </c>
      <c r="F50" s="10">
        <f t="shared" si="12"/>
        <v>-576207.61000000034</v>
      </c>
      <c r="G50" s="10">
        <f t="shared" si="12"/>
        <v>-1568962.6500000153</v>
      </c>
      <c r="H50" s="10">
        <f t="shared" si="12"/>
        <v>646652.03999999864</v>
      </c>
      <c r="I50" s="10">
        <f t="shared" si="12"/>
        <v>-544944.72999999952</v>
      </c>
      <c r="J50" s="10">
        <f t="shared" si="12"/>
        <v>1648986.2900000038</v>
      </c>
      <c r="K50" s="10">
        <f t="shared" si="12"/>
        <v>1675308.2199999983</v>
      </c>
      <c r="L50" s="10">
        <f t="shared" si="12"/>
        <v>-2837725.4699999974</v>
      </c>
      <c r="M50" s="10">
        <f t="shared" si="12"/>
        <v>-993388.3400000059</v>
      </c>
      <c r="N50" s="10">
        <f t="shared" si="12"/>
        <v>-77415.920000002719</v>
      </c>
      <c r="P50" s="30">
        <f t="shared" si="12"/>
        <v>-775205.61000001815</v>
      </c>
    </row>
    <row r="51" spans="2:16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P51" s="29"/>
    </row>
    <row r="52" spans="2:16">
      <c r="B52" s="2" t="s">
        <v>40</v>
      </c>
      <c r="C52" s="8">
        <v>2891009</v>
      </c>
      <c r="D52" s="8">
        <f>+C54</f>
        <v>4677881.7299999986</v>
      </c>
      <c r="E52" s="8">
        <f>+D54</f>
        <v>3522779.839999998</v>
      </c>
      <c r="F52" s="8">
        <f t="shared" ref="F52:N52" si="13">+E54</f>
        <v>4743501.5599999912</v>
      </c>
      <c r="G52" s="8">
        <f t="shared" si="13"/>
        <v>4167293.9499999909</v>
      </c>
      <c r="H52" s="8">
        <f t="shared" si="13"/>
        <v>2598331.2999999756</v>
      </c>
      <c r="I52" s="8">
        <f t="shared" si="13"/>
        <v>3244983.3399999742</v>
      </c>
      <c r="J52" s="8">
        <f t="shared" si="13"/>
        <v>2700038.6099999747</v>
      </c>
      <c r="K52" s="8">
        <f t="shared" si="13"/>
        <v>4349024.899999978</v>
      </c>
      <c r="L52" s="8">
        <f t="shared" si="13"/>
        <v>6024333.1199999768</v>
      </c>
      <c r="M52" s="8">
        <f t="shared" si="13"/>
        <v>3186607.6499999794</v>
      </c>
      <c r="N52" s="8">
        <f t="shared" si="13"/>
        <v>2193219.3099999735</v>
      </c>
      <c r="P52" s="27">
        <f>+N54</f>
        <v>2115803.3899999708</v>
      </c>
    </row>
    <row r="53" spans="2:16"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P53" s="27"/>
    </row>
    <row r="54" spans="2:16" ht="15" thickBot="1">
      <c r="B54" s="2" t="s">
        <v>41</v>
      </c>
      <c r="C54" s="7">
        <f>+C50+C52</f>
        <v>4677881.7299999986</v>
      </c>
      <c r="D54" s="7">
        <f>+D50+D52</f>
        <v>3522779.839999998</v>
      </c>
      <c r="E54" s="7">
        <f t="shared" ref="E54:P54" si="14">+E50+E52</f>
        <v>4743501.5599999912</v>
      </c>
      <c r="F54" s="7">
        <f t="shared" si="14"/>
        <v>4167293.9499999909</v>
      </c>
      <c r="G54" s="7">
        <f t="shared" si="14"/>
        <v>2598331.2999999756</v>
      </c>
      <c r="H54" s="7">
        <f t="shared" si="14"/>
        <v>3244983.3399999742</v>
      </c>
      <c r="I54" s="7">
        <f t="shared" si="14"/>
        <v>2700038.6099999747</v>
      </c>
      <c r="J54" s="7">
        <f t="shared" si="14"/>
        <v>4349024.899999978</v>
      </c>
      <c r="K54" s="7">
        <f t="shared" si="14"/>
        <v>6024333.1199999768</v>
      </c>
      <c r="L54" s="7">
        <f t="shared" si="14"/>
        <v>3186607.6499999794</v>
      </c>
      <c r="M54" s="7">
        <f t="shared" si="14"/>
        <v>2193219.3099999735</v>
      </c>
      <c r="N54" s="7">
        <f t="shared" si="14"/>
        <v>2115803.3899999708</v>
      </c>
      <c r="P54" s="28">
        <f t="shared" si="14"/>
        <v>1340597.7799999528</v>
      </c>
    </row>
    <row r="55" spans="2:16" ht="15" thickTop="1"/>
    <row r="64" spans="2:16" s="3" customFormat="1" ht="15" thickBot="1">
      <c r="B64" s="19" t="s">
        <v>42</v>
      </c>
      <c r="C64" s="5">
        <v>43983</v>
      </c>
      <c r="D64" s="5">
        <v>44013</v>
      </c>
      <c r="E64" s="5">
        <v>44044</v>
      </c>
      <c r="F64" s="5">
        <v>44075</v>
      </c>
      <c r="G64" s="5">
        <v>44105</v>
      </c>
      <c r="H64" s="5">
        <v>44136</v>
      </c>
      <c r="I64" s="5">
        <v>44166</v>
      </c>
      <c r="J64" s="5">
        <v>44197</v>
      </c>
      <c r="K64" s="5">
        <v>44228</v>
      </c>
      <c r="L64" s="5">
        <v>44256</v>
      </c>
      <c r="M64" s="5">
        <v>44287</v>
      </c>
      <c r="N64" s="5">
        <v>44317</v>
      </c>
    </row>
    <row r="65" spans="2:14" ht="15" thickTop="1"/>
    <row r="66" spans="2:14">
      <c r="B66" t="s">
        <v>43</v>
      </c>
      <c r="C66" s="8">
        <v>-1195763.25</v>
      </c>
      <c r="D66" s="8">
        <f t="shared" ref="D66:F66" si="15">+C69</f>
        <v>-1458364.2</v>
      </c>
      <c r="E66" s="8">
        <f t="shared" si="15"/>
        <v>-1867817.64</v>
      </c>
      <c r="F66" s="8">
        <f t="shared" si="15"/>
        <v>-624984.78</v>
      </c>
      <c r="G66" s="8">
        <f>+F69</f>
        <v>-2513228.96</v>
      </c>
      <c r="H66" s="8">
        <f t="shared" ref="H66:N66" si="16">+G69</f>
        <v>-2756134.06</v>
      </c>
      <c r="I66" s="8">
        <f t="shared" si="16"/>
        <v>-1354391.66</v>
      </c>
      <c r="J66" s="8">
        <f t="shared" si="16"/>
        <v>-2388450.17</v>
      </c>
      <c r="K66" s="8">
        <f t="shared" si="16"/>
        <v>-893748.76</v>
      </c>
      <c r="L66" s="8">
        <f t="shared" si="16"/>
        <v>-2237609.94</v>
      </c>
      <c r="M66" s="8">
        <f t="shared" si="16"/>
        <v>-2888470.25</v>
      </c>
      <c r="N66" s="8">
        <f t="shared" si="16"/>
        <v>-1071684.82</v>
      </c>
    </row>
    <row r="67" spans="2:14">
      <c r="B67" t="s">
        <v>44</v>
      </c>
      <c r="C67" s="8">
        <v>1656591.07</v>
      </c>
      <c r="D67" s="8">
        <v>4098101.19</v>
      </c>
      <c r="E67" s="8">
        <v>2176066.17</v>
      </c>
      <c r="F67" s="8">
        <v>248532.33</v>
      </c>
      <c r="G67" s="8">
        <v>3073559.45</v>
      </c>
      <c r="H67" s="8">
        <v>2577455</v>
      </c>
      <c r="I67" s="8">
        <v>926835.6</v>
      </c>
      <c r="J67" s="8">
        <v>2120808.33</v>
      </c>
      <c r="K67" s="8">
        <v>873738.98</v>
      </c>
      <c r="L67" s="8">
        <v>3245950.46</v>
      </c>
      <c r="M67" s="8">
        <v>4732024.18</v>
      </c>
      <c r="N67" s="8">
        <v>1840072.06</v>
      </c>
    </row>
    <row r="68" spans="2:14">
      <c r="C68" s="8">
        <f>SUM(C66:C67)</f>
        <v>460827.82000000007</v>
      </c>
      <c r="D68" s="8">
        <f t="shared" ref="D68:E68" si="17">SUM(D66:D67)</f>
        <v>2639736.9900000002</v>
      </c>
      <c r="E68" s="8">
        <f t="shared" si="17"/>
        <v>308248.53000000003</v>
      </c>
      <c r="F68" s="8">
        <f>SUM(F66:F67)</f>
        <v>-376452.45000000007</v>
      </c>
      <c r="G68" s="8">
        <f t="shared" ref="G68:N68" si="18">SUM(G66:G67)</f>
        <v>560330.49000000022</v>
      </c>
      <c r="H68" s="8">
        <f t="shared" si="18"/>
        <v>-178679.06000000006</v>
      </c>
      <c r="I68" s="8">
        <f t="shared" si="18"/>
        <v>-427556.05999999994</v>
      </c>
      <c r="J68" s="8">
        <f t="shared" si="18"/>
        <v>-267641.83999999985</v>
      </c>
      <c r="K68" s="8">
        <f t="shared" si="18"/>
        <v>-20009.780000000028</v>
      </c>
      <c r="L68" s="8">
        <f t="shared" si="18"/>
        <v>1008340.52</v>
      </c>
      <c r="M68" s="8">
        <f t="shared" si="18"/>
        <v>1843553.9299999997</v>
      </c>
      <c r="N68" s="8">
        <f t="shared" si="18"/>
        <v>768387.24</v>
      </c>
    </row>
    <row r="69" spans="2:14" s="8" customFormat="1">
      <c r="B69" s="8" t="s">
        <v>45</v>
      </c>
      <c r="C69" s="8">
        <v>-1458364.2</v>
      </c>
      <c r="D69" s="8">
        <v>-1867817.64</v>
      </c>
      <c r="E69" s="8">
        <v>-624984.78</v>
      </c>
      <c r="F69" s="8">
        <v>-2513228.96</v>
      </c>
      <c r="G69" s="8">
        <v>-2756134.06</v>
      </c>
      <c r="H69" s="8">
        <v>-1354391.66</v>
      </c>
      <c r="I69" s="8">
        <v>-2388450.17</v>
      </c>
      <c r="J69" s="8">
        <v>-893748.76</v>
      </c>
      <c r="K69" s="8">
        <v>-2237609.94</v>
      </c>
      <c r="L69" s="8">
        <v>-2888470.25</v>
      </c>
      <c r="M69" s="8">
        <v>-1071684.82</v>
      </c>
      <c r="N69" s="8">
        <v>-1223236.8999999999</v>
      </c>
    </row>
    <row r="70" spans="2:14" s="8" customFormat="1">
      <c r="B70" s="8" t="s">
        <v>46</v>
      </c>
      <c r="C70" s="8">
        <f>+C68-C69</f>
        <v>1919192.02</v>
      </c>
      <c r="D70" s="8">
        <f t="shared" ref="D70:N70" si="19">+D68-D69</f>
        <v>4507554.63</v>
      </c>
      <c r="E70" s="8">
        <f t="shared" si="19"/>
        <v>933233.31</v>
      </c>
      <c r="F70" s="8">
        <f t="shared" si="19"/>
        <v>2136776.5099999998</v>
      </c>
      <c r="G70" s="8">
        <f t="shared" si="19"/>
        <v>3316464.5500000003</v>
      </c>
      <c r="H70" s="8">
        <f t="shared" si="19"/>
        <v>1175712.5999999999</v>
      </c>
      <c r="I70" s="8">
        <f t="shared" si="19"/>
        <v>1960894.1099999999</v>
      </c>
      <c r="J70" s="8">
        <f t="shared" si="19"/>
        <v>626106.92000000016</v>
      </c>
      <c r="K70" s="8">
        <f t="shared" si="19"/>
        <v>2217600.16</v>
      </c>
      <c r="L70" s="8">
        <f t="shared" si="19"/>
        <v>3896810.77</v>
      </c>
      <c r="M70" s="8">
        <f t="shared" si="19"/>
        <v>2915238.75</v>
      </c>
      <c r="N70" s="8">
        <f t="shared" si="19"/>
        <v>1991624.14</v>
      </c>
    </row>
    <row r="71" spans="2:14" s="8" customFormat="1"/>
    <row r="72" spans="2:14" s="8" customFormat="1"/>
    <row r="73" spans="2:14" s="8" customFormat="1">
      <c r="C73" s="8">
        <f t="shared" ref="C73:N73" si="20">+C16-C70</f>
        <v>-144076.02000000002</v>
      </c>
      <c r="D73" s="8">
        <f t="shared" si="20"/>
        <v>-479457.62999999989</v>
      </c>
      <c r="E73" s="8">
        <f t="shared" si="20"/>
        <v>-322875.31000000006</v>
      </c>
      <c r="F73" s="8">
        <f t="shared" si="20"/>
        <v>-15326.509999999776</v>
      </c>
      <c r="G73" s="8">
        <f t="shared" si="20"/>
        <v>0</v>
      </c>
      <c r="H73" s="8">
        <f t="shared" si="20"/>
        <v>0</v>
      </c>
      <c r="I73" s="8">
        <f t="shared" si="20"/>
        <v>0</v>
      </c>
      <c r="J73" s="8">
        <f t="shared" si="20"/>
        <v>0</v>
      </c>
      <c r="K73" s="8">
        <f t="shared" si="20"/>
        <v>0</v>
      </c>
      <c r="L73" s="8">
        <f t="shared" si="20"/>
        <v>0</v>
      </c>
      <c r="M73" s="8">
        <f t="shared" si="20"/>
        <v>0</v>
      </c>
      <c r="N73" s="8">
        <f t="shared" si="20"/>
        <v>0</v>
      </c>
    </row>
    <row r="74" spans="2:14" s="8" customFormat="1"/>
    <row r="75" spans="2:14" s="8" customFormat="1"/>
    <row r="76" spans="2:14" s="8" customFormat="1" ht="15" thickBot="1">
      <c r="B76" s="18" t="s">
        <v>47</v>
      </c>
      <c r="C76" s="5">
        <v>43983</v>
      </c>
      <c r="D76" s="5">
        <v>44013</v>
      </c>
      <c r="E76" s="5">
        <v>44044</v>
      </c>
      <c r="F76" s="5">
        <v>44075</v>
      </c>
      <c r="G76" s="5">
        <v>44105</v>
      </c>
      <c r="H76" s="5">
        <v>44136</v>
      </c>
      <c r="I76" s="5">
        <v>44166</v>
      </c>
      <c r="J76" s="5">
        <v>44197</v>
      </c>
      <c r="K76" s="5">
        <v>44228</v>
      </c>
      <c r="L76" s="5">
        <v>44256</v>
      </c>
      <c r="M76" s="5">
        <v>44287</v>
      </c>
      <c r="N76" s="5">
        <v>44317</v>
      </c>
    </row>
    <row r="77" spans="2:14" s="8" customFormat="1" ht="15" thickTop="1"/>
    <row r="78" spans="2:14" s="8" customFormat="1">
      <c r="B78" s="8" t="s">
        <v>48</v>
      </c>
      <c r="C78" s="8">
        <v>0</v>
      </c>
      <c r="D78" s="8">
        <v>0</v>
      </c>
      <c r="E78" s="8">
        <f>+'[1]Aug 20'!$O$2369</f>
        <v>2961647.1999999932</v>
      </c>
      <c r="F78" s="8">
        <f>+'[1]Sep 20'!$P$2525</f>
        <v>2502959.4499999997</v>
      </c>
      <c r="G78" s="8">
        <f>+'[1]Oct 20'!$P$2441</f>
        <v>3191094.9199999855</v>
      </c>
      <c r="H78" s="8">
        <f>+'[1]Noc 20'!$P$2360</f>
        <v>2830819.7599999979</v>
      </c>
      <c r="I78" s="8">
        <f>+'[1]Dec 20'!$O$2254</f>
        <v>2120321.27</v>
      </c>
      <c r="J78" s="8">
        <f>+'[1]Jan 21'!$O$2500</f>
        <v>3382781.070000004</v>
      </c>
      <c r="K78" s="8">
        <f>+'[1]Feb 21'!$O$1739</f>
        <v>1788279.0499999989</v>
      </c>
      <c r="L78" s="8">
        <f>+'[1]March 21'!$O$1980</f>
        <v>2024247.4300000018</v>
      </c>
      <c r="M78" s="8">
        <f>+'[1]April 21'!$O$2146</f>
        <v>3284272.4099999936</v>
      </c>
      <c r="N78" s="8">
        <f>+'[1]May 21'!$P$2438</f>
        <v>2679462.9499999969</v>
      </c>
    </row>
    <row r="79" spans="2:14" s="8" customFormat="1">
      <c r="B79" s="8" t="s">
        <v>47</v>
      </c>
      <c r="C79" s="37">
        <v>0</v>
      </c>
      <c r="D79" s="37">
        <v>0</v>
      </c>
      <c r="E79" s="37">
        <f>+'[1]Aug 20'!$O$2448</f>
        <v>470121.29000000004</v>
      </c>
      <c r="F79" s="37">
        <f>+'[1]Sep 20'!$P$2652</f>
        <v>377539.81</v>
      </c>
      <c r="G79" s="37">
        <f>+'[1]Oct 20'!$P$2551</f>
        <v>475674.98000000004</v>
      </c>
      <c r="H79" s="37">
        <f>+'[1]Noc 20'!$P$2462</f>
        <v>407554.89000000019</v>
      </c>
      <c r="I79" s="37">
        <f>+'[1]Dec 20'!$O$2353</f>
        <v>330119.39000000031</v>
      </c>
      <c r="J79" s="37">
        <f>+'[1]Jan 21'!$O$2609</f>
        <v>339059.98</v>
      </c>
      <c r="K79" s="37">
        <f>+'[1]Feb 21'!$O$1817</f>
        <v>341466.87000000005</v>
      </c>
      <c r="L79" s="37">
        <f>+'[1]March 21'!$O$2074</f>
        <v>302391.25000000017</v>
      </c>
      <c r="M79" s="37">
        <f>+'[1]April 21'!$O$2255</f>
        <v>559015.75000000023</v>
      </c>
      <c r="N79" s="37">
        <f>+'[1]May 21'!$P$82</f>
        <v>478973.33</v>
      </c>
    </row>
    <row r="80" spans="2:14">
      <c r="B80" s="8" t="s">
        <v>49</v>
      </c>
      <c r="C80" s="34">
        <f>SUM(C78:C79)</f>
        <v>0</v>
      </c>
      <c r="D80" s="34">
        <f t="shared" ref="D80:N80" si="21">SUM(D78:D79)</f>
        <v>0</v>
      </c>
      <c r="E80" s="34">
        <f t="shared" si="21"/>
        <v>3431768.4899999932</v>
      </c>
      <c r="F80">
        <f t="shared" si="21"/>
        <v>2880499.26</v>
      </c>
      <c r="G80" s="34">
        <f t="shared" si="21"/>
        <v>3666769.8999999855</v>
      </c>
      <c r="H80" s="34">
        <f t="shared" si="21"/>
        <v>3238374.649999998</v>
      </c>
      <c r="I80" s="34">
        <f t="shared" si="21"/>
        <v>2450440.66</v>
      </c>
      <c r="J80" s="34">
        <f t="shared" si="21"/>
        <v>3721841.050000004</v>
      </c>
      <c r="K80" s="34">
        <f t="shared" si="21"/>
        <v>2129745.919999999</v>
      </c>
      <c r="L80" s="34">
        <f t="shared" si="21"/>
        <v>2326638.680000002</v>
      </c>
      <c r="M80" s="34">
        <f t="shared" si="21"/>
        <v>3843288.1599999936</v>
      </c>
      <c r="N80" s="34">
        <f t="shared" si="21"/>
        <v>3158436.279999997</v>
      </c>
    </row>
    <row r="82" spans="2:16">
      <c r="B82" s="8" t="s">
        <v>50</v>
      </c>
      <c r="D82" s="34">
        <f>+C85</f>
        <v>0</v>
      </c>
      <c r="E82" s="34">
        <f t="shared" ref="E82:N82" si="22">+D85</f>
        <v>0</v>
      </c>
      <c r="F82" s="34">
        <f t="shared" si="22"/>
        <v>482384.25</v>
      </c>
      <c r="G82" s="34">
        <f t="shared" si="22"/>
        <v>444853.48</v>
      </c>
      <c r="H82" s="34">
        <f t="shared" si="22"/>
        <v>729577.14</v>
      </c>
      <c r="I82" s="34">
        <f t="shared" si="22"/>
        <v>724721.75</v>
      </c>
      <c r="J82" s="34">
        <f t="shared" si="22"/>
        <v>605405.87</v>
      </c>
      <c r="K82" s="34">
        <f t="shared" si="22"/>
        <v>459634.13</v>
      </c>
      <c r="L82" s="34">
        <f t="shared" si="22"/>
        <v>550949.39</v>
      </c>
      <c r="M82" s="34">
        <f t="shared" si="22"/>
        <v>464069.62</v>
      </c>
      <c r="N82" s="34">
        <f t="shared" si="22"/>
        <v>639705.99</v>
      </c>
    </row>
    <row r="83" spans="2:16">
      <c r="B83" s="8" t="s">
        <v>51</v>
      </c>
      <c r="C83" s="8"/>
      <c r="D83" s="8"/>
      <c r="E83" s="8">
        <f>+E79</f>
        <v>470121.29000000004</v>
      </c>
      <c r="F83" s="8">
        <f t="shared" ref="F83:N83" si="23">+F79</f>
        <v>377539.81</v>
      </c>
      <c r="G83" s="8">
        <f t="shared" si="23"/>
        <v>475674.98000000004</v>
      </c>
      <c r="H83" s="8">
        <f t="shared" si="23"/>
        <v>407554.89000000019</v>
      </c>
      <c r="I83" s="8">
        <f t="shared" si="23"/>
        <v>330119.39000000031</v>
      </c>
      <c r="J83" s="8">
        <f t="shared" si="23"/>
        <v>339059.98</v>
      </c>
      <c r="K83" s="8">
        <f t="shared" si="23"/>
        <v>341466.87000000005</v>
      </c>
      <c r="L83" s="8">
        <f t="shared" si="23"/>
        <v>302391.25000000017</v>
      </c>
      <c r="M83" s="8">
        <f t="shared" si="23"/>
        <v>559015.75000000023</v>
      </c>
      <c r="N83" s="8">
        <f t="shared" si="23"/>
        <v>478973.33</v>
      </c>
    </row>
    <row r="84" spans="2:16">
      <c r="C84" s="8">
        <f>SUM(C82:C83)</f>
        <v>0</v>
      </c>
      <c r="D84" s="8">
        <f t="shared" ref="D84:N84" si="24">SUM(D82:D83)</f>
        <v>0</v>
      </c>
      <c r="E84" s="8">
        <f t="shared" si="24"/>
        <v>470121.29000000004</v>
      </c>
      <c r="F84" s="8">
        <f t="shared" si="24"/>
        <v>859924.06</v>
      </c>
      <c r="G84" s="8">
        <f t="shared" si="24"/>
        <v>920528.46</v>
      </c>
      <c r="H84" s="8">
        <f t="shared" si="24"/>
        <v>1137132.0300000003</v>
      </c>
      <c r="I84" s="8">
        <f t="shared" si="24"/>
        <v>1054841.1400000004</v>
      </c>
      <c r="J84" s="8">
        <f t="shared" si="24"/>
        <v>944465.85</v>
      </c>
      <c r="K84" s="8">
        <f t="shared" si="24"/>
        <v>801101</v>
      </c>
      <c r="L84" s="8">
        <f t="shared" si="24"/>
        <v>853340.64000000013</v>
      </c>
      <c r="M84" s="8">
        <f t="shared" si="24"/>
        <v>1023085.3700000002</v>
      </c>
      <c r="N84" s="8">
        <f t="shared" si="24"/>
        <v>1118679.32</v>
      </c>
    </row>
    <row r="85" spans="2:16">
      <c r="B85" s="8" t="s">
        <v>52</v>
      </c>
      <c r="C85" s="8"/>
      <c r="D85" s="8"/>
      <c r="E85" s="8">
        <v>482384.25</v>
      </c>
      <c r="F85" s="8">
        <v>444853.48</v>
      </c>
      <c r="G85" s="8">
        <v>729577.14</v>
      </c>
      <c r="H85" s="8">
        <v>724721.75</v>
      </c>
      <c r="I85" s="8">
        <v>605405.87</v>
      </c>
      <c r="J85" s="8">
        <v>459634.13</v>
      </c>
      <c r="K85" s="8">
        <v>550949.39</v>
      </c>
      <c r="L85" s="8">
        <v>464069.62</v>
      </c>
      <c r="M85" s="8">
        <v>639705.99</v>
      </c>
      <c r="N85" s="8">
        <v>748485.21</v>
      </c>
    </row>
    <row r="86" spans="2:16" ht="15" thickBot="1">
      <c r="B86" s="8" t="s">
        <v>53</v>
      </c>
      <c r="C86" s="7">
        <f>+C84-C85</f>
        <v>0</v>
      </c>
      <c r="D86" s="7">
        <f t="shared" ref="D86:N86" si="25">+D84-D85</f>
        <v>0</v>
      </c>
      <c r="E86" s="7">
        <f t="shared" si="25"/>
        <v>-12262.959999999963</v>
      </c>
      <c r="F86" s="7">
        <f t="shared" si="25"/>
        <v>415070.58000000007</v>
      </c>
      <c r="G86" s="7">
        <f t="shared" si="25"/>
        <v>190951.31999999995</v>
      </c>
      <c r="H86" s="7">
        <f t="shared" si="25"/>
        <v>412410.28000000026</v>
      </c>
      <c r="I86" s="7">
        <f t="shared" si="25"/>
        <v>449435.27000000037</v>
      </c>
      <c r="J86" s="7">
        <f t="shared" si="25"/>
        <v>484831.72</v>
      </c>
      <c r="K86" s="7">
        <f t="shared" si="25"/>
        <v>250151.61</v>
      </c>
      <c r="L86" s="7">
        <f t="shared" si="25"/>
        <v>389271.02000000014</v>
      </c>
      <c r="M86" s="7">
        <f t="shared" si="25"/>
        <v>383379.38000000024</v>
      </c>
      <c r="N86" s="7">
        <f t="shared" si="25"/>
        <v>370194.1100000001</v>
      </c>
    </row>
    <row r="87" spans="2:16" ht="15" thickTop="1"/>
    <row r="91" spans="2:16">
      <c r="B91" s="2" t="s">
        <v>54</v>
      </c>
      <c r="C91" s="38">
        <v>1000000</v>
      </c>
      <c r="D91" s="38">
        <v>500000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3000000</v>
      </c>
      <c r="L91" s="38">
        <v>0</v>
      </c>
      <c r="M91" s="38">
        <v>0</v>
      </c>
      <c r="N91" s="38">
        <v>0</v>
      </c>
    </row>
    <row r="92" spans="2:16">
      <c r="B92" s="49" t="s">
        <v>55</v>
      </c>
      <c r="C92" s="50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36100</v>
      </c>
      <c r="J92" s="50">
        <v>36100</v>
      </c>
      <c r="K92" s="50">
        <v>36100</v>
      </c>
      <c r="L92" s="50">
        <v>36100</v>
      </c>
      <c r="M92" s="50">
        <v>36100</v>
      </c>
      <c r="N92" s="50">
        <v>36100</v>
      </c>
      <c r="P92" s="8">
        <f>+N92*30</f>
        <v>1083000</v>
      </c>
    </row>
    <row r="93" spans="2:16">
      <c r="B93" s="52" t="s">
        <v>56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P93">
        <f>83000/4</f>
        <v>20750</v>
      </c>
    </row>
    <row r="94" spans="2:16"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2:16" s="36" customFormat="1">
      <c r="B95" s="49" t="s">
        <v>57</v>
      </c>
      <c r="C95" s="50">
        <v>36681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50">
        <v>0</v>
      </c>
    </row>
    <row r="96" spans="2:16" s="36" customFormat="1">
      <c r="B96" s="52" t="s">
        <v>56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</row>
    <row r="97" spans="2:14" s="36" customFormat="1">
      <c r="B97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2:14" s="36" customFormat="1">
      <c r="B98" s="49" t="s">
        <v>58</v>
      </c>
      <c r="C98" s="51">
        <v>0</v>
      </c>
      <c r="D98" s="51">
        <v>0</v>
      </c>
      <c r="E98" s="51">
        <v>44200</v>
      </c>
      <c r="F98" s="51">
        <v>44200</v>
      </c>
      <c r="G98" s="51">
        <v>44200</v>
      </c>
      <c r="H98" s="51">
        <v>44200</v>
      </c>
      <c r="I98" s="51">
        <v>44200</v>
      </c>
      <c r="J98" s="51">
        <v>44200</v>
      </c>
      <c r="K98" s="51">
        <v>44200</v>
      </c>
      <c r="L98" s="51">
        <v>44200</v>
      </c>
      <c r="M98" s="51">
        <v>44200</v>
      </c>
      <c r="N98" s="51">
        <v>44200</v>
      </c>
    </row>
    <row r="99" spans="2:14" s="36" customFormat="1">
      <c r="B99" s="52" t="s">
        <v>56</v>
      </c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</row>
    <row r="100" spans="2:14" s="36" customFormat="1">
      <c r="B100"/>
    </row>
    <row r="101" spans="2:14">
      <c r="B101" s="49" t="s">
        <v>59</v>
      </c>
      <c r="C101" s="50">
        <v>0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v>0</v>
      </c>
      <c r="K101" s="50">
        <v>0</v>
      </c>
      <c r="L101" s="50">
        <v>30575.34</v>
      </c>
      <c r="M101" s="50">
        <v>100000</v>
      </c>
      <c r="N101" s="50">
        <v>100000</v>
      </c>
    </row>
    <row r="102" spans="2:14">
      <c r="B102" s="52" t="s">
        <v>56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</row>
    <row r="103" spans="2:14"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2:14"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2:14" ht="15" thickBot="1">
      <c r="C105" s="7">
        <f>SUM(C92:C101)</f>
        <v>36681</v>
      </c>
      <c r="D105" s="7">
        <f t="shared" ref="D105:N105" si="26">SUM(D92:D101)</f>
        <v>0</v>
      </c>
      <c r="E105" s="7">
        <f t="shared" si="26"/>
        <v>44200</v>
      </c>
      <c r="F105" s="7">
        <f t="shared" si="26"/>
        <v>44200</v>
      </c>
      <c r="G105" s="7">
        <f t="shared" si="26"/>
        <v>44200</v>
      </c>
      <c r="H105" s="7">
        <f t="shared" si="26"/>
        <v>44200</v>
      </c>
      <c r="I105" s="7">
        <f t="shared" si="26"/>
        <v>80300</v>
      </c>
      <c r="J105" s="7">
        <f t="shared" si="26"/>
        <v>80300</v>
      </c>
      <c r="K105" s="7">
        <f t="shared" si="26"/>
        <v>80300</v>
      </c>
      <c r="L105" s="7">
        <f t="shared" si="26"/>
        <v>110875.34</v>
      </c>
      <c r="M105" s="7">
        <f t="shared" si="26"/>
        <v>180300</v>
      </c>
      <c r="N105" s="7">
        <f t="shared" si="26"/>
        <v>180300</v>
      </c>
    </row>
    <row r="106" spans="2:14" ht="15" thickTop="1"/>
  </sheetData>
  <pageMargins left="0.7" right="0.72" top="0.42" bottom="0.23" header="0.3" footer="0.2"/>
  <pageSetup paperSize="9" scale="7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34"/>
  <sheetViews>
    <sheetView topLeftCell="A7" workbookViewId="0">
      <selection activeCell="B20" sqref="B20"/>
    </sheetView>
  </sheetViews>
  <sheetFormatPr defaultRowHeight="14.45"/>
  <cols>
    <col min="1" max="1" width="11.5703125" style="40" customWidth="1"/>
    <col min="2" max="2" width="50.7109375" customWidth="1"/>
    <col min="3" max="3" width="9.140625" style="15"/>
    <col min="4" max="4" width="13" style="8" customWidth="1"/>
    <col min="5" max="5" width="1.140625" customWidth="1"/>
    <col min="6" max="6" width="13" customWidth="1"/>
  </cols>
  <sheetData>
    <row r="2" spans="2:6">
      <c r="B2" s="2"/>
    </row>
    <row r="3" spans="2:6">
      <c r="B3" s="2"/>
    </row>
    <row r="5" spans="2:6">
      <c r="B5" s="11"/>
      <c r="D5" s="41"/>
      <c r="E5" s="3"/>
      <c r="F5" s="41"/>
    </row>
    <row r="6" spans="2:6">
      <c r="C6" s="3"/>
      <c r="D6" s="42"/>
      <c r="E6" s="3"/>
      <c r="F6" s="3"/>
    </row>
    <row r="7" spans="2:6">
      <c r="B7" s="2"/>
      <c r="D7" s="9"/>
    </row>
    <row r="8" spans="2:6">
      <c r="D8" s="9"/>
      <c r="E8" s="43"/>
      <c r="F8" s="9"/>
    </row>
    <row r="9" spans="2:6">
      <c r="D9" s="9"/>
      <c r="E9" s="43"/>
      <c r="F9" s="9"/>
    </row>
    <row r="10" spans="2:6">
      <c r="D10" s="9"/>
      <c r="E10" s="43"/>
      <c r="F10" s="9"/>
    </row>
    <row r="11" spans="2:6">
      <c r="D11" s="9"/>
      <c r="E11" s="43"/>
      <c r="F11" s="9"/>
    </row>
    <row r="12" spans="2:6">
      <c r="E12" s="43"/>
      <c r="F12" s="21"/>
    </row>
    <row r="13" spans="2:6">
      <c r="E13" s="43"/>
      <c r="F13" s="9"/>
    </row>
    <row r="14" spans="2:6">
      <c r="E14" s="43"/>
      <c r="F14" s="9"/>
    </row>
    <row r="15" spans="2:6">
      <c r="D15" s="44"/>
      <c r="E15" s="43"/>
      <c r="F15" s="9"/>
    </row>
    <row r="16" spans="2:6">
      <c r="B16" s="2"/>
      <c r="D16" s="21"/>
      <c r="E16" s="43"/>
      <c r="F16" s="21"/>
    </row>
    <row r="17" spans="2:6">
      <c r="D17" s="9"/>
      <c r="E17" s="43"/>
      <c r="F17" s="9"/>
    </row>
    <row r="18" spans="2:6" ht="21">
      <c r="B18" s="79" t="s">
        <v>60</v>
      </c>
      <c r="D18" s="9"/>
      <c r="E18" s="43"/>
      <c r="F18" s="9"/>
    </row>
    <row r="19" spans="2:6" ht="23.45">
      <c r="B19" s="45"/>
      <c r="C19" s="46"/>
      <c r="D19" s="47" t="s">
        <v>61</v>
      </c>
      <c r="E19" s="43"/>
      <c r="F19" s="9"/>
    </row>
    <row r="20" spans="2:6" ht="23.45">
      <c r="B20" s="45"/>
      <c r="C20" s="46"/>
      <c r="D20" s="48" t="s">
        <v>62</v>
      </c>
      <c r="E20" s="43"/>
      <c r="F20" s="9"/>
    </row>
    <row r="21" spans="2:6" ht="23.45">
      <c r="B21" s="45"/>
      <c r="C21" s="46"/>
      <c r="D21" s="48"/>
      <c r="E21" s="43"/>
      <c r="F21" s="9"/>
    </row>
    <row r="22" spans="2:6">
      <c r="B22" s="2"/>
      <c r="D22" s="21"/>
      <c r="E22" s="43"/>
      <c r="F22" s="21"/>
    </row>
    <row r="23" spans="2:6">
      <c r="D23" s="9"/>
      <c r="E23" s="43"/>
      <c r="F23" s="9"/>
    </row>
    <row r="24" spans="2:6">
      <c r="B24" s="2"/>
      <c r="D24" s="9"/>
      <c r="E24" s="43"/>
      <c r="F24" s="9"/>
    </row>
    <row r="25" spans="2:6">
      <c r="B25" s="2"/>
      <c r="D25" s="9"/>
      <c r="E25" s="43"/>
      <c r="F25" s="9"/>
    </row>
    <row r="26" spans="2:6">
      <c r="B26" s="2"/>
      <c r="D26" s="21"/>
      <c r="E26" s="43"/>
      <c r="F26" s="21"/>
    </row>
    <row r="27" spans="2:6">
      <c r="D27" s="9"/>
      <c r="E27" s="43"/>
      <c r="F27" s="43"/>
    </row>
    <row r="28" spans="2:6">
      <c r="E28" s="36"/>
      <c r="F28" s="8"/>
    </row>
    <row r="29" spans="2:6">
      <c r="E29" s="36"/>
      <c r="F29" s="36"/>
    </row>
    <row r="31" spans="2:6">
      <c r="B31" s="91"/>
      <c r="C31" s="91"/>
      <c r="D31" s="91"/>
      <c r="E31" s="91"/>
      <c r="F31" s="91"/>
    </row>
    <row r="32" spans="2:6">
      <c r="B32" s="91"/>
      <c r="C32" s="91"/>
      <c r="D32" s="91"/>
      <c r="E32" s="91"/>
      <c r="F32" s="91"/>
    </row>
    <row r="34" spans="2:2">
      <c r="B34" s="2"/>
    </row>
  </sheetData>
  <mergeCells count="1">
    <mergeCell ref="B31:F32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N49"/>
  <sheetViews>
    <sheetView workbookViewId="0">
      <selection activeCell="K22" sqref="K22"/>
    </sheetView>
  </sheetViews>
  <sheetFormatPr defaultRowHeight="14.45"/>
  <cols>
    <col min="1" max="1" width="6.85546875" customWidth="1"/>
    <col min="2" max="2" width="30.140625" customWidth="1"/>
    <col min="3" max="3" width="10" style="3" customWidth="1"/>
    <col min="4" max="7" width="15" style="8" customWidth="1"/>
  </cols>
  <sheetData>
    <row r="2" spans="2:14">
      <c r="B2" s="2" t="s">
        <v>63</v>
      </c>
    </row>
    <row r="3" spans="2:14">
      <c r="B3" s="2" t="s">
        <v>64</v>
      </c>
    </row>
    <row r="4" spans="2:14" s="2" customFormat="1">
      <c r="B4" s="12"/>
      <c r="C4" s="13" t="s">
        <v>65</v>
      </c>
      <c r="D4" s="17" t="s">
        <v>66</v>
      </c>
      <c r="E4" s="17" t="s">
        <v>67</v>
      </c>
      <c r="F4" s="17" t="s">
        <v>68</v>
      </c>
      <c r="G4" s="17" t="s">
        <v>69</v>
      </c>
    </row>
    <row r="5" spans="2:14" s="2" customFormat="1">
      <c r="B5" s="2" t="s">
        <v>70</v>
      </c>
      <c r="C5" s="3">
        <v>1</v>
      </c>
      <c r="D5" s="18"/>
      <c r="E5" s="18"/>
      <c r="F5" s="18"/>
      <c r="G5" s="18"/>
    </row>
    <row r="6" spans="2:14">
      <c r="B6" t="s">
        <v>71</v>
      </c>
      <c r="D6" s="8">
        <f>ROUND(' Notes 1'!D10,0)</f>
        <v>35864404</v>
      </c>
      <c r="E6" s="8">
        <f>ROUND(' Notes 1'!E10,0)</f>
        <v>38374912</v>
      </c>
      <c r="F6" s="8">
        <f>ROUND(' Notes 1'!F10,0)</f>
        <v>41061156</v>
      </c>
      <c r="G6" s="8">
        <f>ROUND(' Notes 1'!G10,0)</f>
        <v>43935437</v>
      </c>
    </row>
    <row r="7" spans="2:14">
      <c r="B7" t="s">
        <v>72</v>
      </c>
      <c r="D7" s="8">
        <f>ROUND(' Notes 1'!D11,0)</f>
        <v>4574677</v>
      </c>
      <c r="E7" s="8">
        <f>ROUND(' Notes 1'!E11,0)</f>
        <v>4894905</v>
      </c>
      <c r="F7" s="8">
        <f>ROUND(' Notes 1'!F11,0)</f>
        <v>5237548</v>
      </c>
      <c r="G7" s="8">
        <f>ROUND(' Notes 1'!G11,0)</f>
        <v>5604177</v>
      </c>
    </row>
    <row r="8" spans="2:14">
      <c r="B8" t="s">
        <v>6</v>
      </c>
      <c r="D8" s="8">
        <v>6000000</v>
      </c>
      <c r="E8" s="8">
        <v>0</v>
      </c>
      <c r="F8" s="8">
        <v>0</v>
      </c>
      <c r="G8" s="8">
        <v>0</v>
      </c>
    </row>
    <row r="9" spans="2:14">
      <c r="B9" s="2" t="s">
        <v>73</v>
      </c>
      <c r="D9" s="14">
        <f>SUM(D6:D8)</f>
        <v>46439081</v>
      </c>
      <c r="E9" s="14">
        <f t="shared" ref="E9:F9" si="0">SUM(E6:E8)</f>
        <v>43269817</v>
      </c>
      <c r="F9" s="14">
        <f t="shared" si="0"/>
        <v>46298704</v>
      </c>
      <c r="G9" s="14">
        <f t="shared" ref="G9" si="1">SUM(G6:G8)</f>
        <v>49539614</v>
      </c>
    </row>
    <row r="11" spans="2:14">
      <c r="B11" s="2" t="s">
        <v>8</v>
      </c>
    </row>
    <row r="12" spans="2:14">
      <c r="B12" s="2" t="s">
        <v>9</v>
      </c>
      <c r="C12" s="3">
        <v>2</v>
      </c>
    </row>
    <row r="13" spans="2:14">
      <c r="B13" t="s">
        <v>10</v>
      </c>
      <c r="D13" s="8">
        <f>ROUND(' Notes 1'!D22,0)</f>
        <v>27434537</v>
      </c>
      <c r="E13" s="8">
        <f>ROUND(' Notes 1'!E22,0)</f>
        <v>28257573</v>
      </c>
      <c r="F13" s="8">
        <f>ROUND(' Notes 1'!F22,0)</f>
        <v>29105301</v>
      </c>
      <c r="G13" s="8">
        <f>ROUND(' Notes 1'!G22,0)</f>
        <v>29978460</v>
      </c>
      <c r="J13" s="31"/>
      <c r="K13" s="31"/>
      <c r="L13" s="31"/>
      <c r="M13" s="31"/>
      <c r="N13" s="31"/>
    </row>
    <row r="14" spans="2:14">
      <c r="B14" t="s">
        <v>12</v>
      </c>
      <c r="D14" s="8">
        <f>ROUND(' Notes 1'!D23,0)</f>
        <v>4805245</v>
      </c>
      <c r="E14" s="8">
        <f>ROUND(' Notes 1'!E23,0)</f>
        <v>4805245</v>
      </c>
      <c r="F14" s="8">
        <f>ROUND(' Notes 1'!F23,0)</f>
        <v>4805245</v>
      </c>
      <c r="G14" s="8">
        <f>ROUND(' Notes 1'!G23,0)</f>
        <v>4805245</v>
      </c>
    </row>
    <row r="15" spans="2:14">
      <c r="B15" t="s">
        <v>13</v>
      </c>
      <c r="D15" s="8">
        <f>ROUND(' Notes 1'!D24,0)</f>
        <v>118548</v>
      </c>
      <c r="E15" s="8">
        <f>ROUND(' Notes 1'!E24,0)</f>
        <v>124476</v>
      </c>
      <c r="F15" s="8">
        <f>ROUND(' Notes 1'!F24,0)</f>
        <v>130700</v>
      </c>
      <c r="G15" s="8">
        <f>ROUND(' Notes 1'!G24,0)</f>
        <v>137235</v>
      </c>
    </row>
    <row r="16" spans="2:14">
      <c r="B16" t="s">
        <v>14</v>
      </c>
      <c r="D16" s="8">
        <f>ROUND(' Notes 1'!D25,0)</f>
        <v>141589</v>
      </c>
      <c r="E16" s="8">
        <f>ROUND(' Notes 1'!E25,0)</f>
        <v>148668</v>
      </c>
      <c r="F16" s="8">
        <f>ROUND(' Notes 1'!F25,0)</f>
        <v>156102</v>
      </c>
      <c r="G16" s="8">
        <f>ROUND(' Notes 1'!G25,0)</f>
        <v>163907</v>
      </c>
    </row>
    <row r="17" spans="2:7">
      <c r="B17" t="s">
        <v>15</v>
      </c>
      <c r="D17" s="8">
        <f>ROUND(' Notes 1'!D26,0)</f>
        <v>2378242</v>
      </c>
      <c r="E17" s="8">
        <f>ROUND(' Notes 1'!E26,0)</f>
        <v>2449589</v>
      </c>
      <c r="F17" s="8">
        <f>ROUND(' Notes 1'!F26,0)</f>
        <v>2523077</v>
      </c>
      <c r="G17" s="8">
        <f>ROUND(' Notes 1'!G26,0)</f>
        <v>2598769</v>
      </c>
    </row>
    <row r="18" spans="2:7">
      <c r="B18" t="s">
        <v>16</v>
      </c>
      <c r="D18" s="8">
        <f>ROUND(' Notes 1'!D27,0)</f>
        <v>1384320</v>
      </c>
      <c r="E18" s="8">
        <f>ROUND(' Notes 1'!E27,0)</f>
        <v>1425850</v>
      </c>
      <c r="F18" s="8">
        <f>ROUND(' Notes 1'!F27,0)</f>
        <v>1468625</v>
      </c>
      <c r="G18" s="8">
        <f>ROUND(' Notes 1'!G27,0)</f>
        <v>1512684</v>
      </c>
    </row>
    <row r="19" spans="2:7">
      <c r="B19" t="s">
        <v>17</v>
      </c>
      <c r="D19" s="8">
        <f>ROUND(' Notes 1'!D28,0)</f>
        <v>277151</v>
      </c>
      <c r="E19" s="8">
        <f>ROUND(' Notes 1'!E28,0)</f>
        <v>291009</v>
      </c>
      <c r="F19" s="8">
        <f>ROUND(' Notes 1'!F28,0)</f>
        <v>305560</v>
      </c>
      <c r="G19" s="8">
        <f>ROUND(' Notes 1'!G28,0)</f>
        <v>320837</v>
      </c>
    </row>
    <row r="20" spans="2:7">
      <c r="B20" t="s">
        <v>18</v>
      </c>
      <c r="D20" s="8">
        <f>ROUND(' Notes 1'!D29,0)</f>
        <v>201554</v>
      </c>
      <c r="E20" s="8">
        <f>ROUND(' Notes 1'!E29,0)</f>
        <v>207601</v>
      </c>
      <c r="F20" s="8">
        <f>ROUND(' Notes 1'!F29,0)</f>
        <v>213829</v>
      </c>
      <c r="G20" s="8">
        <f>ROUND(' Notes 1'!G29,0)</f>
        <v>220244</v>
      </c>
    </row>
    <row r="21" spans="2:7">
      <c r="B21" t="s">
        <v>19</v>
      </c>
      <c r="D21" s="8">
        <f>ROUND(' Notes 1'!D30,0)</f>
        <v>12079</v>
      </c>
      <c r="E21" s="8">
        <f>ROUND(' Notes 1'!E30,0)</f>
        <v>12683</v>
      </c>
      <c r="F21" s="8">
        <f>ROUND(' Notes 1'!F30,0)</f>
        <v>13317</v>
      </c>
      <c r="G21" s="8">
        <f>ROUND(' Notes 1'!G30,0)</f>
        <v>13983</v>
      </c>
    </row>
    <row r="22" spans="2:7">
      <c r="B22" t="s">
        <v>20</v>
      </c>
      <c r="D22" s="8">
        <f>ROUND(' Notes 1'!D31,0)</f>
        <v>496695</v>
      </c>
      <c r="E22" s="8">
        <f>ROUND(' Notes 1'!E31,0)</f>
        <v>511596</v>
      </c>
      <c r="F22" s="8">
        <f>ROUND(' Notes 1'!F31,0)</f>
        <v>526944</v>
      </c>
      <c r="G22" s="8">
        <f>ROUND(' Notes 1'!G31,0)</f>
        <v>542752</v>
      </c>
    </row>
    <row r="23" spans="2:7">
      <c r="B23" t="s">
        <v>21</v>
      </c>
      <c r="D23" s="8">
        <f>ROUND(' Notes 1'!D32,0)</f>
        <v>74802</v>
      </c>
      <c r="E23" s="8">
        <f>ROUND(' Notes 1'!E32,0)</f>
        <v>78542</v>
      </c>
      <c r="F23" s="8">
        <f>ROUND(' Notes 1'!F32,0)</f>
        <v>82469</v>
      </c>
      <c r="G23" s="8">
        <f>ROUND(' Notes 1'!G32,0)</f>
        <v>86593</v>
      </c>
    </row>
    <row r="24" spans="2:7">
      <c r="B24" t="s">
        <v>22</v>
      </c>
      <c r="D24" s="8">
        <f>ROUND(' Notes 1'!D33,0)</f>
        <v>69911</v>
      </c>
      <c r="E24" s="8">
        <f>ROUND(' Notes 1'!E33,0)</f>
        <v>73406</v>
      </c>
      <c r="F24" s="8">
        <f>ROUND(' Notes 1'!F33,0)</f>
        <v>77077</v>
      </c>
      <c r="G24" s="8">
        <f>ROUND(' Notes 1'!G33,0)</f>
        <v>80930</v>
      </c>
    </row>
    <row r="25" spans="2:7">
      <c r="B25" t="s">
        <v>23</v>
      </c>
      <c r="D25" s="8">
        <f>ROUND(' Notes 1'!D34,0)</f>
        <v>144479</v>
      </c>
      <c r="E25" s="8">
        <f>ROUND(' Notes 1'!E34,0)</f>
        <v>151703</v>
      </c>
      <c r="F25" s="8">
        <f>ROUND(' Notes 1'!F34,0)</f>
        <v>159288</v>
      </c>
      <c r="G25" s="8">
        <f>ROUND(' Notes 1'!G34,0)</f>
        <v>167252</v>
      </c>
    </row>
    <row r="26" spans="2:7">
      <c r="B26" t="s">
        <v>24</v>
      </c>
      <c r="D26" s="8">
        <f>ROUND(' Notes 1'!D35,0)</f>
        <v>70688</v>
      </c>
      <c r="E26" s="8">
        <f>ROUND(' Notes 1'!E35,0)</f>
        <v>74223</v>
      </c>
      <c r="F26" s="8">
        <f>ROUND(' Notes 1'!F35,0)</f>
        <v>77934</v>
      </c>
      <c r="G26" s="8">
        <f>ROUND(' Notes 1'!G35,0)</f>
        <v>81831</v>
      </c>
    </row>
    <row r="27" spans="2:7">
      <c r="B27" t="s">
        <v>25</v>
      </c>
      <c r="D27" s="8">
        <f>ROUND(' Notes 1'!D36,0)</f>
        <v>348411</v>
      </c>
      <c r="E27" s="8">
        <f>ROUND(' Notes 1'!E36,0)</f>
        <v>358864</v>
      </c>
      <c r="F27" s="8">
        <f>ROUND(' Notes 1'!F36,0)</f>
        <v>369630</v>
      </c>
      <c r="G27" s="8">
        <f>ROUND(' Notes 1'!G36,0)</f>
        <v>380719</v>
      </c>
    </row>
    <row r="28" spans="2:7">
      <c r="B28" t="s">
        <v>26</v>
      </c>
      <c r="D28" s="8">
        <f>ROUND(' Notes 1'!D37,0)</f>
        <v>1074</v>
      </c>
      <c r="E28" s="8">
        <f>ROUND(' Notes 1'!E37,0)</f>
        <v>1106</v>
      </c>
      <c r="F28" s="8">
        <f>ROUND(' Notes 1'!F37,0)</f>
        <v>1139</v>
      </c>
      <c r="G28" s="8">
        <f>ROUND(' Notes 1'!G37,0)</f>
        <v>1173</v>
      </c>
    </row>
    <row r="29" spans="2:7">
      <c r="B29" t="s">
        <v>27</v>
      </c>
      <c r="D29" s="8">
        <f>ROUND(' Notes 1'!D38,0)</f>
        <v>1839801</v>
      </c>
      <c r="E29" s="8">
        <f>ROUND(' Notes 1'!E38,0)</f>
        <v>1894995</v>
      </c>
      <c r="F29" s="8">
        <f>ROUND(' Notes 1'!F38,0)</f>
        <v>1951845</v>
      </c>
      <c r="G29" s="8">
        <f>ROUND(' Notes 1'!G38,0)</f>
        <v>2010400</v>
      </c>
    </row>
    <row r="30" spans="2:7">
      <c r="B30" t="s">
        <v>28</v>
      </c>
      <c r="D30" s="8">
        <f>ROUND(' Notes 1'!D39,0)</f>
        <v>234351</v>
      </c>
      <c r="E30" s="8">
        <f>ROUND(' Notes 1'!E39,0)</f>
        <v>265868</v>
      </c>
      <c r="F30" s="8">
        <f>ROUND(' Notes 1'!F39,0)</f>
        <v>332714</v>
      </c>
      <c r="G30" s="8">
        <f>ROUND(' Notes 1'!G39,0)</f>
        <v>395044</v>
      </c>
    </row>
    <row r="31" spans="2:7">
      <c r="B31" t="s">
        <v>29</v>
      </c>
      <c r="D31" s="8">
        <f>ROUND(' Notes 1'!D40,0)</f>
        <v>134823</v>
      </c>
      <c r="E31" s="8">
        <f>ROUND(' Notes 1'!E40,0)</f>
        <v>138868</v>
      </c>
      <c r="F31" s="8">
        <f>ROUND(' Notes 1'!F40,0)</f>
        <v>143034</v>
      </c>
      <c r="G31" s="8">
        <f>ROUND(' Notes 1'!G40,0)</f>
        <v>147325</v>
      </c>
    </row>
    <row r="32" spans="2:7">
      <c r="B32" t="s">
        <v>74</v>
      </c>
      <c r="D32" s="8">
        <f>ROUND(' Notes 1'!D41,0)</f>
        <v>823036</v>
      </c>
      <c r="E32" s="8">
        <f>ROUND(' Notes 1'!E41,0)</f>
        <v>847727</v>
      </c>
      <c r="F32" s="8">
        <f>ROUND(' Notes 1'!F41,0)</f>
        <v>873159</v>
      </c>
      <c r="G32" s="8">
        <f>ROUND(' Notes 1'!G41,0)</f>
        <v>899354</v>
      </c>
    </row>
    <row r="34" spans="2:7" ht="15" thickBot="1">
      <c r="B34" s="2" t="s">
        <v>75</v>
      </c>
      <c r="D34" s="16">
        <f>SUM(D12:D33)</f>
        <v>40991336</v>
      </c>
      <c r="E34" s="16">
        <f>SUM(E12:E33)</f>
        <v>42119592</v>
      </c>
      <c r="F34" s="16">
        <f>SUM(F12:F33)</f>
        <v>43316989</v>
      </c>
      <c r="G34" s="16">
        <f>SUM(G12:G33)</f>
        <v>44544737</v>
      </c>
    </row>
    <row r="35" spans="2:7" ht="15" thickTop="1"/>
    <row r="36" spans="2:7" ht="15" thickBot="1">
      <c r="B36" s="2" t="s">
        <v>76</v>
      </c>
      <c r="D36" s="16">
        <f>+D9-D34</f>
        <v>5447745</v>
      </c>
      <c r="E36" s="16">
        <f>+E9-E34</f>
        <v>1150225</v>
      </c>
      <c r="F36" s="16">
        <f>+F9-F34</f>
        <v>2981715</v>
      </c>
      <c r="G36" s="16">
        <f>+G9-G34</f>
        <v>4994877</v>
      </c>
    </row>
    <row r="37" spans="2:7" ht="15" thickTop="1"/>
    <row r="38" spans="2:7">
      <c r="B38" t="s">
        <v>77</v>
      </c>
    </row>
    <row r="39" spans="2:7">
      <c r="B39" t="s">
        <v>78</v>
      </c>
      <c r="D39" s="8">
        <f>-'Notes 2'!D8</f>
        <v>1000000</v>
      </c>
      <c r="E39" s="8">
        <v>0</v>
      </c>
      <c r="F39" s="8">
        <v>0</v>
      </c>
      <c r="G39" s="8">
        <v>0</v>
      </c>
    </row>
    <row r="40" spans="2:7">
      <c r="B40" t="s">
        <v>79</v>
      </c>
      <c r="C40" s="3">
        <v>3.1</v>
      </c>
      <c r="D40" s="33">
        <f>ROUND('Notes 2'!D34,0)</f>
        <v>2782521</v>
      </c>
      <c r="E40" s="33">
        <f>ROUND('Notes 2'!E34,0)</f>
        <v>2912305</v>
      </c>
      <c r="F40" s="33">
        <f>ROUND('Notes 2'!F34,0)</f>
        <v>2302871</v>
      </c>
      <c r="G40" s="33">
        <f>ROUND('Notes 2'!G34,0)</f>
        <v>1637226</v>
      </c>
    </row>
    <row r="41" spans="2:7">
      <c r="B41" t="s">
        <v>80</v>
      </c>
      <c r="C41" s="3">
        <v>3.1</v>
      </c>
      <c r="D41" s="33">
        <f>ROUND('Notes 2'!D17,0)</f>
        <v>585801</v>
      </c>
      <c r="E41" s="33">
        <f>ROUND('Notes 2'!E17,0)</f>
        <v>375717</v>
      </c>
      <c r="F41" s="33">
        <f>ROUND('Notes 2'!F17,0)</f>
        <v>188051</v>
      </c>
      <c r="G41" s="33">
        <f>ROUND('Notes 2'!G17,0)</f>
        <v>53696</v>
      </c>
    </row>
    <row r="42" spans="2:7" ht="15" thickBot="1">
      <c r="B42" s="2" t="s">
        <v>81</v>
      </c>
      <c r="D42" s="16">
        <f>SUM(D38:D41)</f>
        <v>4368322</v>
      </c>
      <c r="E42" s="16">
        <f t="shared" ref="E42:G42" si="2">SUM(E38:E41)</f>
        <v>3288022</v>
      </c>
      <c r="F42" s="16">
        <f t="shared" si="2"/>
        <v>2490922</v>
      </c>
      <c r="G42" s="16">
        <f t="shared" si="2"/>
        <v>1690922</v>
      </c>
    </row>
    <row r="43" spans="2:7" ht="15" thickTop="1"/>
    <row r="44" spans="2:7">
      <c r="B44" t="s">
        <v>82</v>
      </c>
      <c r="D44" s="8">
        <f>D36-D42</f>
        <v>1079423</v>
      </c>
      <c r="E44" s="8">
        <f t="shared" ref="E44:G44" si="3">E36-E42</f>
        <v>-2137797</v>
      </c>
      <c r="F44" s="8">
        <f t="shared" si="3"/>
        <v>490793</v>
      </c>
      <c r="G44" s="8">
        <f t="shared" si="3"/>
        <v>3303955</v>
      </c>
    </row>
    <row r="46" spans="2:7">
      <c r="B46" t="s">
        <v>83</v>
      </c>
      <c r="D46" s="8">
        <f>63029+57594+41634+12613+570312+317196+1645334+233260</f>
        <v>2940972</v>
      </c>
      <c r="E46" s="8">
        <f>+D48</f>
        <v>4020395</v>
      </c>
      <c r="F46" s="8">
        <f>+E48</f>
        <v>1882598</v>
      </c>
      <c r="G46" s="8">
        <f>+F48</f>
        <v>2373391</v>
      </c>
    </row>
    <row r="48" spans="2:7" ht="15" thickBot="1">
      <c r="B48" s="2" t="s">
        <v>84</v>
      </c>
      <c r="D48" s="16">
        <f>D44+D46</f>
        <v>4020395</v>
      </c>
      <c r="E48" s="16">
        <f t="shared" ref="E48:G48" si="4">E44+E46</f>
        <v>1882598</v>
      </c>
      <c r="F48" s="16">
        <f t="shared" si="4"/>
        <v>2373391</v>
      </c>
      <c r="G48" s="16">
        <f t="shared" si="4"/>
        <v>5677346</v>
      </c>
    </row>
    <row r="49" ht="15" thickTop="1"/>
  </sheetData>
  <pageMargins left="0.7" right="0.7" top="0.75" bottom="0.75" header="0.3" footer="0.3"/>
  <pageSetup paperSize="9" scale="87" orientation="portrait" r:id="rId1"/>
  <headerFooter>
    <oddFooter>&amp;RPage 01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N59"/>
  <sheetViews>
    <sheetView topLeftCell="A19" zoomScaleNormal="100" zoomScaleSheetLayoutView="100" workbookViewId="0">
      <selection activeCell="I45" sqref="I45"/>
    </sheetView>
  </sheetViews>
  <sheetFormatPr defaultRowHeight="14.45"/>
  <cols>
    <col min="1" max="1" width="2.28515625" customWidth="1"/>
    <col min="2" max="2" width="5.28515625" style="15" customWidth="1"/>
    <col min="3" max="3" width="37" customWidth="1"/>
    <col min="4" max="7" width="15" style="8" customWidth="1"/>
    <col min="9" max="9" width="28.140625" style="8" customWidth="1"/>
    <col min="10" max="10" width="14.28515625" style="8" bestFit="1" customWidth="1"/>
    <col min="11" max="11" width="14.28515625" style="36" bestFit="1" customWidth="1"/>
    <col min="12" max="13" width="9.140625" style="8"/>
  </cols>
  <sheetData>
    <row r="2" spans="2:14">
      <c r="B2" s="2" t="s">
        <v>63</v>
      </c>
      <c r="C2" s="2"/>
    </row>
    <row r="3" spans="2:14">
      <c r="B3" s="19" t="s">
        <v>85</v>
      </c>
      <c r="C3" s="2"/>
    </row>
    <row r="4" spans="2:14">
      <c r="B4" s="3"/>
      <c r="C4" s="2"/>
    </row>
    <row r="5" spans="2:14" s="2" customFormat="1">
      <c r="B5" s="13"/>
      <c r="C5" s="12"/>
      <c r="D5" s="17" t="s">
        <v>66</v>
      </c>
      <c r="E5" s="17" t="s">
        <v>67</v>
      </c>
      <c r="F5" s="17" t="s">
        <v>68</v>
      </c>
      <c r="G5" s="17" t="s">
        <v>69</v>
      </c>
      <c r="I5" s="18"/>
      <c r="J5" s="18"/>
      <c r="K5" s="69"/>
      <c r="L5" s="18"/>
      <c r="M5" s="18"/>
    </row>
    <row r="6" spans="2:14" s="2" customFormat="1">
      <c r="B6" s="3">
        <v>1</v>
      </c>
      <c r="C6" s="2" t="s">
        <v>86</v>
      </c>
      <c r="D6" s="18"/>
      <c r="E6" s="18"/>
      <c r="F6" s="18"/>
      <c r="G6" s="18"/>
      <c r="I6" s="18"/>
      <c r="J6" s="18"/>
      <c r="K6" s="69"/>
      <c r="L6" s="18"/>
      <c r="M6" s="18"/>
    </row>
    <row r="7" spans="2:14">
      <c r="C7" t="s">
        <v>87</v>
      </c>
      <c r="D7" s="8">
        <f>+D12</f>
        <v>40439081.432500005</v>
      </c>
      <c r="E7" s="8">
        <f t="shared" ref="E7:G7" si="0">+E12</f>
        <v>43269817.132775001</v>
      </c>
      <c r="F7" s="8">
        <f t="shared" si="0"/>
        <v>46298704.332069255</v>
      </c>
      <c r="G7" s="8">
        <f t="shared" si="0"/>
        <v>49539613.635314107</v>
      </c>
    </row>
    <row r="8" spans="2:14">
      <c r="B8" s="3"/>
      <c r="C8" s="2"/>
      <c r="D8" s="14">
        <f>SUM(D7:D7)</f>
        <v>40439081.432500005</v>
      </c>
      <c r="E8" s="14">
        <f>SUM(E7:E7)</f>
        <v>43269817.132775001</v>
      </c>
      <c r="F8" s="14">
        <f>SUM(F7:F7)</f>
        <v>46298704.332069255</v>
      </c>
      <c r="G8" s="14">
        <f>SUM(G7:G7)</f>
        <v>49539613.635314107</v>
      </c>
    </row>
    <row r="10" spans="2:14">
      <c r="B10" s="3"/>
      <c r="C10" s="20" t="s">
        <v>48</v>
      </c>
      <c r="D10" s="8">
        <f>ROUND('Cash Flows - Past'!P8*1.05,0)</f>
        <v>35864404</v>
      </c>
      <c r="E10" s="8">
        <f t="shared" ref="E10:G11" si="1">+D10*1.07</f>
        <v>38374912.280000001</v>
      </c>
      <c r="F10" s="8">
        <f t="shared" si="1"/>
        <v>41061156.139600001</v>
      </c>
      <c r="G10" s="8">
        <f t="shared" si="1"/>
        <v>43935437.069372006</v>
      </c>
      <c r="J10" s="66">
        <f>+D10/D12</f>
        <v>0.88687484308623699</v>
      </c>
      <c r="K10" s="36">
        <f t="shared" ref="K10:M10" si="2">+E10/E12</f>
        <v>0.8868748430862371</v>
      </c>
      <c r="L10" s="66">
        <f t="shared" si="2"/>
        <v>0.88687484308623699</v>
      </c>
      <c r="M10" s="66">
        <f t="shared" si="2"/>
        <v>0.88687484308623699</v>
      </c>
      <c r="N10" s="66"/>
    </row>
    <row r="11" spans="2:14">
      <c r="B11" s="3"/>
      <c r="C11" s="20" t="s">
        <v>51</v>
      </c>
      <c r="D11" s="8">
        <f>('Cash Flows - Past'!P9+'Cash Flows - Past'!P10)*1.05</f>
        <v>4574677.432500002</v>
      </c>
      <c r="E11" s="8">
        <f t="shared" si="1"/>
        <v>4894904.8527750028</v>
      </c>
      <c r="F11" s="8">
        <f t="shared" si="1"/>
        <v>5237548.1924692532</v>
      </c>
      <c r="G11" s="8">
        <f t="shared" si="1"/>
        <v>5604176.5659421012</v>
      </c>
      <c r="J11" s="66">
        <f>+D11/D12</f>
        <v>0.11312515691376297</v>
      </c>
      <c r="K11" s="36">
        <f t="shared" ref="K11:M11" si="3">+E11/E12</f>
        <v>0.113125156913763</v>
      </c>
      <c r="L11" s="66">
        <f t="shared" si="3"/>
        <v>0.113125156913763</v>
      </c>
      <c r="M11" s="66">
        <f t="shared" si="3"/>
        <v>0.113125156913763</v>
      </c>
      <c r="N11" s="66"/>
    </row>
    <row r="12" spans="2:14">
      <c r="D12" s="14">
        <f>SUM(D10:D11)</f>
        <v>40439081.432500005</v>
      </c>
      <c r="E12" s="14">
        <f t="shared" ref="E12:G12" si="4">SUM(E10:E11)</f>
        <v>43269817.132775001</v>
      </c>
      <c r="F12" s="14">
        <f t="shared" si="4"/>
        <v>46298704.332069255</v>
      </c>
      <c r="G12" s="14">
        <f t="shared" si="4"/>
        <v>49539613.635314107</v>
      </c>
    </row>
    <row r="13" spans="2:14">
      <c r="C13" s="11" t="s">
        <v>88</v>
      </c>
    </row>
    <row r="14" spans="2:14" ht="15" customHeight="1">
      <c r="C14" s="11" t="s">
        <v>89</v>
      </c>
      <c r="D14" s="70"/>
      <c r="E14" s="70"/>
      <c r="F14" s="70"/>
      <c r="G14" s="70"/>
    </row>
    <row r="15" spans="2:14">
      <c r="C15" s="11"/>
      <c r="D15" s="70"/>
      <c r="E15" s="70"/>
      <c r="F15" s="70"/>
      <c r="G15" s="70"/>
    </row>
    <row r="16" spans="2:14">
      <c r="C16" s="2" t="s">
        <v>90</v>
      </c>
    </row>
    <row r="17" spans="1:13">
      <c r="C17" t="s">
        <v>91</v>
      </c>
      <c r="D17" s="8">
        <f>+D12*0.65</f>
        <v>26285402.931125004</v>
      </c>
      <c r="E17" s="8">
        <f>+D17*1.07</f>
        <v>28125381.136303756</v>
      </c>
      <c r="F17" s="8">
        <f>+E17*1.07</f>
        <v>30094157.81584502</v>
      </c>
      <c r="G17" s="8">
        <f>+F17*1.07</f>
        <v>32200748.862954173</v>
      </c>
    </row>
    <row r="18" spans="1:13">
      <c r="D18" s="14">
        <f>SUM(D16:D17)</f>
        <v>26285402.931125004</v>
      </c>
      <c r="E18" s="14">
        <f t="shared" ref="E18" si="5">SUM(E16:E17)</f>
        <v>28125381.136303756</v>
      </c>
      <c r="F18" s="14">
        <f t="shared" ref="F18:G18" si="6">SUM(F16:F17)</f>
        <v>30094157.81584502</v>
      </c>
      <c r="G18" s="14">
        <f t="shared" si="6"/>
        <v>32200748.862954173</v>
      </c>
    </row>
    <row r="19" spans="1:13">
      <c r="C19" t="s">
        <v>92</v>
      </c>
    </row>
    <row r="21" spans="1:13">
      <c r="A21" s="2"/>
      <c r="B21" s="3">
        <v>2</v>
      </c>
      <c r="C21" s="2" t="s">
        <v>93</v>
      </c>
    </row>
    <row r="22" spans="1:13">
      <c r="C22" t="s">
        <v>10</v>
      </c>
      <c r="D22" s="35">
        <f>+'Cash Flows - Past'!P16*1.03</f>
        <v>27434537.190000001</v>
      </c>
      <c r="E22" s="8">
        <f>+D22*1.03</f>
        <v>28257573.3057</v>
      </c>
      <c r="F22" s="8">
        <f>+E22*1.03</f>
        <v>29105300.504871</v>
      </c>
      <c r="G22" s="8">
        <f>+F22*1.03</f>
        <v>29978459.520017132</v>
      </c>
      <c r="I22" s="82" t="s">
        <v>10</v>
      </c>
      <c r="J22" s="83">
        <v>27434537</v>
      </c>
      <c r="K22" s="84">
        <f>+D22-J22</f>
        <v>0.19000000134110451</v>
      </c>
    </row>
    <row r="23" spans="1:13">
      <c r="C23" t="s">
        <v>12</v>
      </c>
      <c r="D23" s="35">
        <f>+'Cash Flows - Past'!P18</f>
        <v>4805245.25</v>
      </c>
      <c r="E23" s="35">
        <f>+D23</f>
        <v>4805245.25</v>
      </c>
      <c r="F23" s="35">
        <f>+E23</f>
        <v>4805245.25</v>
      </c>
      <c r="G23" s="35">
        <f>+F23</f>
        <v>4805245.25</v>
      </c>
      <c r="I23" s="85" t="s">
        <v>12</v>
      </c>
      <c r="J23" s="9">
        <v>4805245</v>
      </c>
      <c r="K23" s="86">
        <f t="shared" ref="K23:K41" si="7">+D23-J23</f>
        <v>0.25</v>
      </c>
    </row>
    <row r="24" spans="1:13">
      <c r="C24" t="s">
        <v>13</v>
      </c>
      <c r="D24" s="67">
        <f>+'Cash Flows - Past'!P19*1.05</f>
        <v>118548.34950000001</v>
      </c>
      <c r="E24" s="33">
        <f t="shared" ref="E24:G25" si="8">+D24*1.05</f>
        <v>124475.76697500002</v>
      </c>
      <c r="F24" s="33">
        <f t="shared" si="8"/>
        <v>130699.55532375003</v>
      </c>
      <c r="G24" s="33">
        <f t="shared" si="8"/>
        <v>137234.53308993753</v>
      </c>
      <c r="I24" s="87" t="s">
        <v>13</v>
      </c>
      <c r="J24" s="80">
        <v>118548</v>
      </c>
      <c r="K24" s="86">
        <f t="shared" si="7"/>
        <v>0.34950000001117587</v>
      </c>
      <c r="L24" s="33"/>
      <c r="M24" s="33"/>
    </row>
    <row r="25" spans="1:13">
      <c r="C25" t="s">
        <v>14</v>
      </c>
      <c r="D25" s="67">
        <f>+'Cash Flows - Past'!P20*1.05</f>
        <v>141588.78300000002</v>
      </c>
      <c r="E25" s="33">
        <f t="shared" si="8"/>
        <v>148668.22215000005</v>
      </c>
      <c r="F25" s="33">
        <f t="shared" si="8"/>
        <v>156101.63325750004</v>
      </c>
      <c r="G25" s="33">
        <f t="shared" si="8"/>
        <v>163906.71492037506</v>
      </c>
      <c r="I25" s="87" t="s">
        <v>14</v>
      </c>
      <c r="J25" s="80">
        <v>141589</v>
      </c>
      <c r="K25" s="86">
        <f t="shared" si="7"/>
        <v>-0.21699999997508712</v>
      </c>
      <c r="L25" s="33"/>
      <c r="M25" s="33"/>
    </row>
    <row r="26" spans="1:13">
      <c r="C26" t="s">
        <v>15</v>
      </c>
      <c r="D26" s="67">
        <f>+'Cash Flows - Past'!P21*1.03</f>
        <v>2378241.7162000001</v>
      </c>
      <c r="E26" s="33">
        <f t="shared" ref="E26:G27" si="9">+D26*1.03</f>
        <v>2449588.9676860003</v>
      </c>
      <c r="F26" s="33">
        <f t="shared" si="9"/>
        <v>2523076.6367165805</v>
      </c>
      <c r="G26" s="33">
        <f t="shared" si="9"/>
        <v>2598768.935818078</v>
      </c>
      <c r="I26" s="87" t="s">
        <v>15</v>
      </c>
      <c r="J26" s="80">
        <v>2378242</v>
      </c>
      <c r="K26" s="86">
        <f t="shared" si="7"/>
        <v>-0.28379999985918403</v>
      </c>
      <c r="L26" s="33"/>
      <c r="M26" s="33"/>
    </row>
    <row r="27" spans="1:13">
      <c r="C27" t="s">
        <v>16</v>
      </c>
      <c r="D27" s="67">
        <f>+'Cash Flows - Past'!P22*1.03</f>
        <v>1384320</v>
      </c>
      <c r="E27" s="33">
        <f t="shared" si="9"/>
        <v>1425849.6</v>
      </c>
      <c r="F27" s="33">
        <f t="shared" si="9"/>
        <v>1468625.0880000002</v>
      </c>
      <c r="G27" s="33">
        <f t="shared" si="9"/>
        <v>1512683.8406400003</v>
      </c>
      <c r="I27" s="87" t="s">
        <v>16</v>
      </c>
      <c r="J27" s="80">
        <v>1384320</v>
      </c>
      <c r="K27" s="86">
        <f t="shared" si="7"/>
        <v>0</v>
      </c>
      <c r="L27" s="33"/>
      <c r="M27" s="33"/>
    </row>
    <row r="28" spans="1:13">
      <c r="C28" t="s">
        <v>17</v>
      </c>
      <c r="D28" s="68">
        <f>+'Cash Flows - Past'!P23*1.05</f>
        <v>277151.49</v>
      </c>
      <c r="E28" s="33">
        <f t="shared" ref="E28:G35" si="10">+D28*1.05</f>
        <v>291009.06449999998</v>
      </c>
      <c r="F28" s="33">
        <f t="shared" si="10"/>
        <v>305559.51772499998</v>
      </c>
      <c r="G28" s="33">
        <f t="shared" si="10"/>
        <v>320837.49361125001</v>
      </c>
      <c r="I28" s="87" t="s">
        <v>17</v>
      </c>
      <c r="J28" s="80">
        <v>277151</v>
      </c>
      <c r="K28" s="86">
        <f t="shared" si="7"/>
        <v>0.48999999999068677</v>
      </c>
      <c r="L28" s="33"/>
      <c r="M28" s="33"/>
    </row>
    <row r="29" spans="1:13">
      <c r="C29" t="s">
        <v>18</v>
      </c>
      <c r="D29" s="68">
        <f>+'Cash Flows - Past'!P24*1.03</f>
        <v>201554.05649999998</v>
      </c>
      <c r="E29" s="33">
        <f>+D29*1.03</f>
        <v>207600.67819499999</v>
      </c>
      <c r="F29" s="33">
        <f t="shared" ref="F29:G29" si="11">+E29*1.03</f>
        <v>213828.69854084999</v>
      </c>
      <c r="G29" s="33">
        <f t="shared" si="11"/>
        <v>220243.5594970755</v>
      </c>
      <c r="I29" s="87" t="s">
        <v>18</v>
      </c>
      <c r="J29" s="80">
        <v>201554</v>
      </c>
      <c r="K29" s="86">
        <f t="shared" si="7"/>
        <v>5.6499999976949766E-2</v>
      </c>
      <c r="L29" s="33"/>
      <c r="M29" s="33"/>
    </row>
    <row r="30" spans="1:13">
      <c r="B30" s="3"/>
      <c r="C30" t="s">
        <v>19</v>
      </c>
      <c r="D30" s="68">
        <f>+'Cash Flows - Past'!P25*1.05</f>
        <v>12079.2</v>
      </c>
      <c r="E30" s="33">
        <f t="shared" si="10"/>
        <v>12683.160000000002</v>
      </c>
      <c r="F30" s="33">
        <f t="shared" si="10"/>
        <v>13317.318000000003</v>
      </c>
      <c r="G30" s="33">
        <f t="shared" si="10"/>
        <v>13983.183900000004</v>
      </c>
      <c r="I30" s="87" t="s">
        <v>19</v>
      </c>
      <c r="J30" s="80">
        <v>12079</v>
      </c>
      <c r="K30" s="86">
        <f t="shared" si="7"/>
        <v>0.2000000000007276</v>
      </c>
      <c r="L30" s="33"/>
      <c r="M30" s="33"/>
    </row>
    <row r="31" spans="1:13">
      <c r="C31" t="s">
        <v>20</v>
      </c>
      <c r="D31" s="68">
        <f>+'Cash Flows - Past'!P26*1.03</f>
        <v>496695.40649999998</v>
      </c>
      <c r="E31" s="33">
        <f>+D31*1.03</f>
        <v>511596.26869499998</v>
      </c>
      <c r="F31" s="33">
        <f t="shared" ref="F31:G31" si="12">+E31*1.03</f>
        <v>526944.15675584995</v>
      </c>
      <c r="G31" s="33">
        <f t="shared" si="12"/>
        <v>542752.48145852552</v>
      </c>
      <c r="I31" s="87" t="s">
        <v>20</v>
      </c>
      <c r="J31" s="80">
        <v>496695</v>
      </c>
      <c r="K31" s="86">
        <f t="shared" si="7"/>
        <v>0.40649999998277053</v>
      </c>
      <c r="L31" s="33"/>
      <c r="M31" s="33"/>
    </row>
    <row r="32" spans="1:13">
      <c r="B32" s="3"/>
      <c r="C32" t="s">
        <v>21</v>
      </c>
      <c r="D32" s="68">
        <f>+'Cash Flows - Past'!P27*1.05</f>
        <v>74802</v>
      </c>
      <c r="E32" s="33">
        <f t="shared" si="10"/>
        <v>78542.100000000006</v>
      </c>
      <c r="F32" s="33">
        <f t="shared" si="10"/>
        <v>82469.205000000016</v>
      </c>
      <c r="G32" s="33">
        <f t="shared" si="10"/>
        <v>86592.66525000002</v>
      </c>
      <c r="I32" s="87" t="s">
        <v>21</v>
      </c>
      <c r="J32" s="80">
        <v>74802</v>
      </c>
      <c r="K32" s="86">
        <f t="shared" si="7"/>
        <v>0</v>
      </c>
      <c r="L32" s="33"/>
      <c r="M32" s="33"/>
    </row>
    <row r="33" spans="2:13">
      <c r="C33" t="s">
        <v>22</v>
      </c>
      <c r="D33" s="68">
        <f>+'Cash Flows - Past'!P28*1.05</f>
        <v>69910.701000000001</v>
      </c>
      <c r="E33" s="33">
        <f t="shared" si="10"/>
        <v>73406.236050000007</v>
      </c>
      <c r="F33" s="33">
        <f t="shared" si="10"/>
        <v>77076.547852500007</v>
      </c>
      <c r="G33" s="33">
        <f t="shared" si="10"/>
        <v>80930.375245125004</v>
      </c>
      <c r="I33" s="87" t="s">
        <v>22</v>
      </c>
      <c r="J33" s="80">
        <v>69911</v>
      </c>
      <c r="K33" s="86">
        <f t="shared" si="7"/>
        <v>-0.29899999999906868</v>
      </c>
      <c r="L33" s="33"/>
      <c r="M33" s="33"/>
    </row>
    <row r="34" spans="2:13">
      <c r="C34" t="s">
        <v>23</v>
      </c>
      <c r="D34" s="68">
        <f>+'Cash Flows - Past'!P29*1.05</f>
        <v>144478.99200000003</v>
      </c>
      <c r="E34" s="33">
        <f t="shared" si="10"/>
        <v>151702.94160000005</v>
      </c>
      <c r="F34" s="33">
        <f t="shared" si="10"/>
        <v>159288.08868000004</v>
      </c>
      <c r="G34" s="33">
        <f t="shared" si="10"/>
        <v>167252.49311400004</v>
      </c>
      <c r="I34" s="87" t="s">
        <v>23</v>
      </c>
      <c r="J34" s="80">
        <v>144479</v>
      </c>
      <c r="K34" s="86">
        <f t="shared" si="7"/>
        <v>-7.999999972525984E-3</v>
      </c>
      <c r="L34" s="33"/>
      <c r="M34" s="33"/>
    </row>
    <row r="35" spans="2:13">
      <c r="C35" t="s">
        <v>24</v>
      </c>
      <c r="D35" s="68">
        <f>+'Cash Flows - Past'!P30*1.05</f>
        <v>70688.394</v>
      </c>
      <c r="E35" s="33">
        <f>+D35*1.05</f>
        <v>74222.813699999999</v>
      </c>
      <c r="F35" s="33">
        <f t="shared" si="10"/>
        <v>77933.954385000005</v>
      </c>
      <c r="G35" s="33">
        <f t="shared" si="10"/>
        <v>81830.65210425001</v>
      </c>
      <c r="I35" s="87" t="s">
        <v>24</v>
      </c>
      <c r="J35" s="80">
        <v>70688</v>
      </c>
      <c r="K35" s="86">
        <f t="shared" si="7"/>
        <v>0.39400000000023283</v>
      </c>
      <c r="L35" s="33"/>
      <c r="M35" s="33"/>
    </row>
    <row r="36" spans="2:13">
      <c r="C36" t="s">
        <v>25</v>
      </c>
      <c r="D36" s="22">
        <f>+'Cash Flows - Past'!P31*1.03</f>
        <v>348411.44620000006</v>
      </c>
      <c r="E36" s="8">
        <f t="shared" ref="E36:G41" si="13">+D36*1.03</f>
        <v>358863.78958600009</v>
      </c>
      <c r="F36" s="8">
        <f t="shared" si="13"/>
        <v>369629.70327358012</v>
      </c>
      <c r="G36" s="8">
        <f t="shared" si="13"/>
        <v>380718.59437178751</v>
      </c>
      <c r="I36" s="85" t="s">
        <v>25</v>
      </c>
      <c r="J36" s="9">
        <v>348411</v>
      </c>
      <c r="K36" s="86">
        <f t="shared" si="7"/>
        <v>0.44620000006398186</v>
      </c>
    </row>
    <row r="37" spans="2:13">
      <c r="C37" t="s">
        <v>26</v>
      </c>
      <c r="D37" s="22">
        <f>+'Cash Flows - Past'!P32*1.03</f>
        <v>1073.7750000000001</v>
      </c>
      <c r="E37" s="8">
        <f t="shared" si="13"/>
        <v>1105.9882500000001</v>
      </c>
      <c r="F37" s="8">
        <f t="shared" si="13"/>
        <v>1139.1678975000002</v>
      </c>
      <c r="G37" s="8">
        <f t="shared" si="13"/>
        <v>1173.3429344250003</v>
      </c>
      <c r="I37" s="85" t="s">
        <v>26</v>
      </c>
      <c r="J37" s="9">
        <v>1074</v>
      </c>
      <c r="K37" s="86">
        <f t="shared" si="7"/>
        <v>-0.22499999999990905</v>
      </c>
    </row>
    <row r="38" spans="2:13">
      <c r="B38" s="3"/>
      <c r="C38" t="s">
        <v>27</v>
      </c>
      <c r="D38" s="22">
        <f>+'Cash Flows - Past'!P33</f>
        <v>1839801.1300000001</v>
      </c>
      <c r="E38" s="8">
        <f t="shared" si="13"/>
        <v>1894995.1639000003</v>
      </c>
      <c r="F38" s="8">
        <f t="shared" si="13"/>
        <v>1951845.0188170003</v>
      </c>
      <c r="G38" s="8">
        <f t="shared" si="13"/>
        <v>2010400.3693815104</v>
      </c>
      <c r="I38" s="85" t="s">
        <v>27</v>
      </c>
      <c r="J38" s="9">
        <v>1839801</v>
      </c>
      <c r="K38" s="86">
        <f t="shared" si="7"/>
        <v>0.13000000012107193</v>
      </c>
    </row>
    <row r="39" spans="2:13">
      <c r="B39" s="3"/>
      <c r="C39" t="s">
        <v>28</v>
      </c>
      <c r="D39" s="22">
        <f>+'Notes 2'!D62</f>
        <v>234350.97000000003</v>
      </c>
      <c r="E39" s="22">
        <f>+'Notes 2'!E62</f>
        <v>265868.05200000014</v>
      </c>
      <c r="F39" s="22">
        <f>+'Notes 2'!F62</f>
        <v>332713.62405000004</v>
      </c>
      <c r="G39" s="22">
        <f>+'Notes 2'!G62</f>
        <v>395043.94965749985</v>
      </c>
      <c r="I39" s="85" t="s">
        <v>28</v>
      </c>
      <c r="J39" s="9">
        <v>234351</v>
      </c>
      <c r="K39" s="86">
        <f t="shared" si="7"/>
        <v>-2.9999999969732016E-2</v>
      </c>
    </row>
    <row r="40" spans="2:13">
      <c r="B40" s="3"/>
      <c r="C40" t="s">
        <v>29</v>
      </c>
      <c r="D40" s="22">
        <f>+'Cash Flows - Past'!P35*1.03</f>
        <v>134822.85939999999</v>
      </c>
      <c r="E40" s="8">
        <f t="shared" si="13"/>
        <v>138867.545182</v>
      </c>
      <c r="F40" s="8">
        <f t="shared" si="13"/>
        <v>143033.57153746</v>
      </c>
      <c r="G40" s="8">
        <f t="shared" si="13"/>
        <v>147324.57868358379</v>
      </c>
      <c r="I40" s="85" t="s">
        <v>29</v>
      </c>
      <c r="J40" s="9">
        <v>134823</v>
      </c>
      <c r="K40" s="86">
        <f t="shared" si="7"/>
        <v>-0.14060000001336448</v>
      </c>
    </row>
    <row r="41" spans="2:13">
      <c r="B41" s="3"/>
      <c r="C41" t="s">
        <v>74</v>
      </c>
      <c r="D41" s="22">
        <f>+D22*0.03</f>
        <v>823036.11569999997</v>
      </c>
      <c r="E41" s="8">
        <f>+D41*1.03</f>
        <v>847727.19917100004</v>
      </c>
      <c r="F41" s="8">
        <f t="shared" si="13"/>
        <v>873159.01514613011</v>
      </c>
      <c r="G41" s="8">
        <f t="shared" si="13"/>
        <v>899353.78560051403</v>
      </c>
      <c r="I41" s="88" t="s">
        <v>74</v>
      </c>
      <c r="J41" s="81">
        <v>823036</v>
      </c>
      <c r="K41" s="89">
        <f t="shared" si="7"/>
        <v>0.11569999996572733</v>
      </c>
    </row>
    <row r="42" spans="2:13">
      <c r="D42" s="14">
        <f>SUM(D22:D41)</f>
        <v>40991337.824999996</v>
      </c>
      <c r="E42" s="14">
        <f t="shared" ref="E42:G42" si="14">SUM(E22:E41)</f>
        <v>42119592.113339998</v>
      </c>
      <c r="F42" s="14">
        <f t="shared" si="14"/>
        <v>43316986.255829692</v>
      </c>
      <c r="G42" s="14">
        <f t="shared" si="14"/>
        <v>44544736.319295056</v>
      </c>
    </row>
    <row r="43" spans="2:13">
      <c r="D43" s="22"/>
      <c r="E43" s="22"/>
      <c r="F43" s="22"/>
      <c r="G43" s="22"/>
    </row>
    <row r="44" spans="2:13" ht="15" customHeight="1">
      <c r="C44" s="91" t="s">
        <v>94</v>
      </c>
      <c r="D44" s="91"/>
      <c r="E44" s="91"/>
      <c r="F44" s="91"/>
      <c r="G44" s="91"/>
    </row>
    <row r="45" spans="2:13">
      <c r="C45" s="91"/>
      <c r="D45" s="91"/>
      <c r="E45" s="91"/>
      <c r="F45" s="91"/>
      <c r="G45" s="91"/>
    </row>
    <row r="46" spans="2:13">
      <c r="C46" s="23"/>
      <c r="D46" s="71"/>
      <c r="E46" s="71"/>
      <c r="F46" s="71"/>
      <c r="G46" s="71"/>
    </row>
    <row r="47" spans="2:13">
      <c r="C47" t="s">
        <v>95</v>
      </c>
      <c r="D47" s="22"/>
      <c r="E47" s="22"/>
      <c r="F47" s="22"/>
      <c r="G47" s="22"/>
    </row>
    <row r="48" spans="2:13">
      <c r="D48" s="22"/>
      <c r="E48" s="22"/>
      <c r="F48" s="22"/>
      <c r="G48" s="22"/>
    </row>
    <row r="49" spans="3:7">
      <c r="C49" t="s">
        <v>96</v>
      </c>
      <c r="D49" s="22"/>
      <c r="E49" s="22"/>
      <c r="F49" s="22"/>
      <c r="G49" s="22"/>
    </row>
    <row r="50" spans="3:7">
      <c r="D50" s="22"/>
      <c r="E50" s="22"/>
      <c r="F50" s="22"/>
      <c r="G50" s="22"/>
    </row>
    <row r="51" spans="3:7" ht="15" customHeight="1">
      <c r="C51" s="92" t="s">
        <v>97</v>
      </c>
      <c r="D51" s="92"/>
      <c r="E51" s="92"/>
      <c r="F51" s="92"/>
      <c r="G51" s="92"/>
    </row>
    <row r="52" spans="3:7">
      <c r="C52" s="92"/>
      <c r="D52" s="92"/>
      <c r="E52" s="92"/>
      <c r="F52" s="92"/>
      <c r="G52" s="92"/>
    </row>
    <row r="53" spans="3:7">
      <c r="C53" s="39"/>
      <c r="D53" s="72"/>
      <c r="E53" s="72"/>
      <c r="F53" s="72"/>
      <c r="G53" s="72"/>
    </row>
    <row r="54" spans="3:7" ht="15" customHeight="1">
      <c r="C54" s="91" t="s">
        <v>98</v>
      </c>
      <c r="D54" s="91"/>
      <c r="E54" s="91"/>
      <c r="F54" s="91"/>
      <c r="G54" s="91"/>
    </row>
    <row r="55" spans="3:7">
      <c r="C55" s="91"/>
      <c r="D55" s="91"/>
      <c r="E55" s="91"/>
      <c r="F55" s="91"/>
      <c r="G55" s="91"/>
    </row>
    <row r="56" spans="3:7">
      <c r="C56" s="23"/>
      <c r="D56" s="71"/>
      <c r="E56" s="71"/>
      <c r="F56" s="71"/>
      <c r="G56" s="71"/>
    </row>
    <row r="57" spans="3:7" ht="15" customHeight="1">
      <c r="C57" s="91" t="s">
        <v>99</v>
      </c>
      <c r="D57" s="91"/>
      <c r="E57" s="91"/>
      <c r="F57" s="91"/>
      <c r="G57" s="91"/>
    </row>
    <row r="58" spans="3:7">
      <c r="C58" s="91"/>
      <c r="D58" s="91"/>
      <c r="E58" s="91"/>
      <c r="F58" s="91"/>
      <c r="G58" s="91"/>
    </row>
    <row r="59" spans="3:7">
      <c r="C59" s="23"/>
      <c r="D59" s="71"/>
      <c r="E59" s="71"/>
      <c r="F59" s="71"/>
      <c r="G59" s="71"/>
    </row>
  </sheetData>
  <mergeCells count="4">
    <mergeCell ref="C44:G45"/>
    <mergeCell ref="C51:G52"/>
    <mergeCell ref="C54:G55"/>
    <mergeCell ref="C57:G58"/>
  </mergeCells>
  <pageMargins left="0.7" right="0.7" top="0.75" bottom="0.75" header="0.3" footer="0.3"/>
  <pageSetup paperSize="9" scale="85" orientation="portrait" r:id="rId1"/>
  <headerFooter>
    <oddFooter>&amp;RPage 01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M62"/>
  <sheetViews>
    <sheetView workbookViewId="0">
      <selection activeCell="K31" sqref="K31"/>
    </sheetView>
  </sheetViews>
  <sheetFormatPr defaultRowHeight="14.45"/>
  <cols>
    <col min="1" max="1" width="2.28515625" customWidth="1"/>
    <col min="2" max="2" width="5.28515625" style="15" customWidth="1"/>
    <col min="3" max="3" width="41.42578125" customWidth="1"/>
    <col min="4" max="7" width="15" style="8" customWidth="1"/>
    <col min="10" max="10" width="10.5703125" bestFit="1" customWidth="1"/>
    <col min="13" max="13" width="13.28515625" bestFit="1" customWidth="1"/>
  </cols>
  <sheetData>
    <row r="2" spans="2:7">
      <c r="B2" s="2" t="s">
        <v>63</v>
      </c>
      <c r="C2" s="2"/>
    </row>
    <row r="3" spans="2:7">
      <c r="B3" s="19" t="s">
        <v>85</v>
      </c>
      <c r="C3" s="2"/>
    </row>
    <row r="4" spans="2:7">
      <c r="B4" s="3"/>
      <c r="C4" s="2"/>
    </row>
    <row r="5" spans="2:7" s="2" customFormat="1">
      <c r="B5" s="13"/>
      <c r="C5" s="12"/>
      <c r="D5" s="17" t="s">
        <v>66</v>
      </c>
      <c r="E5" s="17" t="s">
        <v>67</v>
      </c>
      <c r="F5" s="17" t="s">
        <v>68</v>
      </c>
      <c r="G5" s="17" t="s">
        <v>69</v>
      </c>
    </row>
    <row r="6" spans="2:7">
      <c r="B6" s="3"/>
      <c r="C6" s="19" t="s">
        <v>100</v>
      </c>
    </row>
    <row r="7" spans="2:7">
      <c r="B7" s="3"/>
      <c r="C7" s="19" t="s">
        <v>101</v>
      </c>
      <c r="D7" s="9"/>
      <c r="E7" s="9"/>
      <c r="F7" s="9"/>
      <c r="G7" s="9"/>
    </row>
    <row r="8" spans="2:7">
      <c r="C8" t="s">
        <v>78</v>
      </c>
      <c r="D8" s="22">
        <v>-1000000</v>
      </c>
      <c r="E8" s="22">
        <f>SUM(E6:E7)</f>
        <v>0</v>
      </c>
      <c r="F8" s="22">
        <f>SUM(F6:F7)</f>
        <v>0</v>
      </c>
      <c r="G8" s="22">
        <f>SUM(G6:G7)</f>
        <v>0</v>
      </c>
    </row>
    <row r="9" spans="2:7">
      <c r="C9" s="11"/>
    </row>
    <row r="10" spans="2:7" ht="15" customHeight="1">
      <c r="C10" s="11" t="s">
        <v>102</v>
      </c>
      <c r="D10" s="70"/>
      <c r="E10" s="70"/>
      <c r="F10" s="70"/>
      <c r="G10" s="70"/>
    </row>
    <row r="11" spans="2:7">
      <c r="C11" s="11"/>
      <c r="D11" s="70"/>
      <c r="E11" s="70"/>
      <c r="F11" s="70"/>
      <c r="G11" s="70"/>
    </row>
    <row r="12" spans="2:7" s="2" customFormat="1">
      <c r="B12" s="3">
        <v>3</v>
      </c>
      <c r="C12" s="2" t="s">
        <v>80</v>
      </c>
      <c r="D12" s="18"/>
      <c r="E12" s="18"/>
      <c r="F12" s="18"/>
      <c r="G12" s="18"/>
    </row>
    <row r="13" spans="2:7" s="2" customFormat="1">
      <c r="B13" s="3">
        <v>3.1</v>
      </c>
      <c r="C13" s="2" t="s">
        <v>103</v>
      </c>
      <c r="D13" s="35">
        <f>Loan!E17</f>
        <v>401.40307338465919</v>
      </c>
      <c r="E13" s="35">
        <v>0</v>
      </c>
      <c r="F13" s="35">
        <v>0</v>
      </c>
      <c r="G13" s="35">
        <v>0</v>
      </c>
    </row>
    <row r="14" spans="2:7" s="2" customFormat="1">
      <c r="B14" s="3">
        <v>3.2</v>
      </c>
      <c r="C14" s="2" t="s">
        <v>104</v>
      </c>
      <c r="D14" s="35">
        <f>SUM(Loan!G17:G28)</f>
        <v>36027.352308250345</v>
      </c>
      <c r="E14" s="35">
        <f>SUM(Loan!G29:G40)</f>
        <v>11620.229033699468</v>
      </c>
      <c r="F14" s="35">
        <v>0</v>
      </c>
      <c r="G14" s="35">
        <v>0</v>
      </c>
    </row>
    <row r="15" spans="2:7" s="2" customFormat="1">
      <c r="B15" s="3">
        <v>3.3</v>
      </c>
      <c r="C15" s="2" t="s">
        <v>105</v>
      </c>
      <c r="D15" s="35">
        <f>SUM(Loan!I17:I28)</f>
        <v>226589.89863578641</v>
      </c>
      <c r="E15" s="35">
        <f>SUM(Loan!I29:I40)</f>
        <v>125697.54095742707</v>
      </c>
      <c r="F15" s="35">
        <f>SUM(Loan!I41:I52)</f>
        <v>39240.861346586782</v>
      </c>
      <c r="G15" s="35">
        <v>0</v>
      </c>
    </row>
    <row r="16" spans="2:7">
      <c r="B16" s="3">
        <v>3.4</v>
      </c>
      <c r="C16" s="2" t="s">
        <v>106</v>
      </c>
      <c r="D16" s="35">
        <f>SUM(Loan!K17:K28)</f>
        <v>322782.71873730532</v>
      </c>
      <c r="E16" s="35">
        <f>SUM(Loan!K29:K40)</f>
        <v>238398.87590263312</v>
      </c>
      <c r="F16" s="35">
        <f>SUM(Loan!K41:K52)</f>
        <v>148810.4222852005</v>
      </c>
      <c r="G16" s="35">
        <f>SUM(Loan!K53:K64)</f>
        <v>53696.348880320416</v>
      </c>
    </row>
    <row r="17" spans="1:13">
      <c r="B17" s="3"/>
      <c r="C17" s="2"/>
      <c r="D17" s="14">
        <f>SUM(D13:D16)</f>
        <v>585801.37275472679</v>
      </c>
      <c r="E17" s="14">
        <f t="shared" ref="E17:G17" si="0">SUM(E13:E16)</f>
        <v>375716.64589375968</v>
      </c>
      <c r="F17" s="14">
        <f t="shared" si="0"/>
        <v>188051.28363178729</v>
      </c>
      <c r="G17" s="14">
        <f t="shared" si="0"/>
        <v>53696.348880320416</v>
      </c>
      <c r="K17" s="34"/>
    </row>
    <row r="18" spans="1:13">
      <c r="B18" s="3"/>
      <c r="C18" t="s">
        <v>107</v>
      </c>
      <c r="D18" s="22"/>
      <c r="E18" s="22"/>
      <c r="F18" s="22"/>
      <c r="G18" s="22"/>
    </row>
    <row r="20" spans="1:13">
      <c r="C20" s="1" t="s">
        <v>108</v>
      </c>
    </row>
    <row r="21" spans="1:13">
      <c r="C21" s="1" t="s">
        <v>109</v>
      </c>
    </row>
    <row r="22" spans="1:13">
      <c r="C22" t="s">
        <v>104</v>
      </c>
      <c r="D22" s="8">
        <v>0</v>
      </c>
      <c r="E22" s="8">
        <f>SUM(Loan!F29:F40)</f>
        <v>385479.77096630051</v>
      </c>
      <c r="F22" s="8">
        <v>0</v>
      </c>
      <c r="G22" s="8">
        <v>0</v>
      </c>
      <c r="M22" s="36"/>
    </row>
    <row r="23" spans="1:13">
      <c r="C23" t="s">
        <v>105</v>
      </c>
      <c r="D23" s="8">
        <v>0</v>
      </c>
      <c r="E23" s="8">
        <f>SUM(Loan!H29:H40)</f>
        <v>1074302.4590425726</v>
      </c>
      <c r="F23" s="8">
        <f>SUM(Loan!H41:H52)</f>
        <v>760759.13865341328</v>
      </c>
      <c r="G23" s="8">
        <v>0</v>
      </c>
      <c r="M23" s="36"/>
    </row>
    <row r="24" spans="1:13">
      <c r="C24" t="s">
        <v>106</v>
      </c>
      <c r="D24" s="8">
        <v>0</v>
      </c>
      <c r="E24" s="8">
        <f>SUM(Loan!J29:J40)</f>
        <v>1452523.2155487314</v>
      </c>
      <c r="F24" s="8">
        <f>SUM(Loan!J41:J52)</f>
        <v>1542111.6691661642</v>
      </c>
      <c r="G24" s="8">
        <f>SUM(Loan!J53:J64)</f>
        <v>1637225.7425710449</v>
      </c>
    </row>
    <row r="25" spans="1:13">
      <c r="D25" s="14">
        <f>SUM(D20:D24)</f>
        <v>0</v>
      </c>
      <c r="E25" s="14">
        <f>SUM(E20:E24)</f>
        <v>2912305.4455576045</v>
      </c>
      <c r="F25" s="14">
        <f>SUM(F20:F24)</f>
        <v>2302870.8078195774</v>
      </c>
      <c r="G25" s="14">
        <f>SUM(G20:G24)</f>
        <v>1637225.7425710449</v>
      </c>
    </row>
    <row r="27" spans="1:13">
      <c r="C27" s="1" t="s">
        <v>110</v>
      </c>
    </row>
    <row r="28" spans="1:13">
      <c r="A28" s="2"/>
      <c r="B28" s="3"/>
      <c r="C28" t="s">
        <v>103</v>
      </c>
      <c r="D28" s="8">
        <f>SUM(Loan!D17)</f>
        <v>43798.596926615341</v>
      </c>
      <c r="E28" s="8">
        <v>0</v>
      </c>
      <c r="F28" s="8">
        <v>0</v>
      </c>
      <c r="G28" s="8">
        <v>0</v>
      </c>
    </row>
    <row r="29" spans="1:13">
      <c r="C29" t="s">
        <v>104</v>
      </c>
      <c r="D29" s="8">
        <f>SUM(Loan!F17:F28)</f>
        <v>397172.64769174968</v>
      </c>
      <c r="E29" s="8">
        <v>0</v>
      </c>
      <c r="F29" s="8">
        <v>0</v>
      </c>
      <c r="G29" s="8">
        <v>0</v>
      </c>
    </row>
    <row r="30" spans="1:13">
      <c r="C30" t="s">
        <v>105</v>
      </c>
      <c r="D30" s="8">
        <f>SUM(Loan!H17:H28)</f>
        <v>973410.10136421351</v>
      </c>
      <c r="E30" s="8">
        <v>0</v>
      </c>
      <c r="F30" s="8">
        <v>0</v>
      </c>
      <c r="G30" s="8">
        <v>0</v>
      </c>
    </row>
    <row r="31" spans="1:13">
      <c r="C31" t="s">
        <v>106</v>
      </c>
      <c r="D31" s="8">
        <f>SUM(Loan!J17:J28)</f>
        <v>1368139.3727140594</v>
      </c>
      <c r="E31" s="8">
        <v>0</v>
      </c>
      <c r="F31" s="8">
        <v>0</v>
      </c>
      <c r="G31" s="8">
        <v>0</v>
      </c>
    </row>
    <row r="32" spans="1:13">
      <c r="D32" s="14">
        <f>SUM(D27:D31)</f>
        <v>2782520.718696638</v>
      </c>
      <c r="E32" s="14">
        <f>SUM(E27:E31)</f>
        <v>0</v>
      </c>
      <c r="F32" s="14">
        <f>SUM(F27:F31)</f>
        <v>0</v>
      </c>
      <c r="G32" s="14">
        <f>SUM(G27:G31)</f>
        <v>0</v>
      </c>
    </row>
    <row r="33" spans="2:10">
      <c r="D33" s="22"/>
      <c r="E33" s="22"/>
      <c r="F33" s="22"/>
      <c r="G33" s="22"/>
    </row>
    <row r="34" spans="2:10">
      <c r="C34" s="2" t="s">
        <v>111</v>
      </c>
      <c r="D34" s="90">
        <f>+D25+D32</f>
        <v>2782520.718696638</v>
      </c>
      <c r="E34" s="90">
        <f t="shared" ref="E34:G34" si="1">+E25+E32</f>
        <v>2912305.4455576045</v>
      </c>
      <c r="F34" s="90">
        <f t="shared" si="1"/>
        <v>2302870.8078195774</v>
      </c>
      <c r="G34" s="90">
        <f t="shared" si="1"/>
        <v>1637225.7425710449</v>
      </c>
    </row>
    <row r="35" spans="2:10">
      <c r="D35" s="22"/>
      <c r="E35" s="22"/>
      <c r="F35" s="22"/>
      <c r="G35" s="22"/>
    </row>
    <row r="36" spans="2:10">
      <c r="C36" t="s">
        <v>112</v>
      </c>
      <c r="D36" s="9"/>
      <c r="E36" s="9"/>
      <c r="F36" s="9"/>
      <c r="G36" s="9"/>
    </row>
    <row r="37" spans="2:10">
      <c r="D37" s="9"/>
      <c r="E37" s="9"/>
      <c r="F37" s="9"/>
      <c r="G37" s="9"/>
    </row>
    <row r="38" spans="2:10" ht="15" customHeight="1">
      <c r="C38" s="91" t="s">
        <v>113</v>
      </c>
      <c r="D38" s="91"/>
      <c r="E38" s="91"/>
      <c r="F38" s="91"/>
      <c r="G38" s="91"/>
    </row>
    <row r="39" spans="2:10">
      <c r="C39" s="91"/>
      <c r="D39" s="91"/>
      <c r="E39" s="91"/>
      <c r="F39" s="91"/>
      <c r="G39" s="91"/>
    </row>
    <row r="40" spans="2:10">
      <c r="C40" s="23"/>
      <c r="D40" s="71"/>
      <c r="E40" s="71"/>
      <c r="F40" s="71"/>
      <c r="G40" s="71"/>
    </row>
    <row r="41" spans="2:10">
      <c r="C41" s="91" t="s">
        <v>114</v>
      </c>
      <c r="D41" s="91"/>
      <c r="E41" s="91"/>
      <c r="F41" s="91"/>
      <c r="G41" s="91"/>
    </row>
    <row r="42" spans="2:10">
      <c r="C42" s="91"/>
      <c r="D42" s="91"/>
      <c r="E42" s="91"/>
      <c r="F42" s="91"/>
      <c r="G42" s="91"/>
    </row>
    <row r="43" spans="2:10">
      <c r="C43" s="23"/>
      <c r="D43" s="71"/>
      <c r="E43" s="71"/>
      <c r="F43" s="71"/>
      <c r="G43" s="71"/>
    </row>
    <row r="44" spans="2:10">
      <c r="D44" s="9"/>
      <c r="E44" s="9"/>
      <c r="F44" s="9"/>
      <c r="G44" s="9"/>
    </row>
    <row r="45" spans="2:10">
      <c r="B45" s="3"/>
      <c r="C45" s="73" t="s">
        <v>115</v>
      </c>
      <c r="D45" s="74"/>
      <c r="E45" s="74"/>
      <c r="F45" s="74"/>
      <c r="G45" s="74"/>
    </row>
    <row r="46" spans="2:10">
      <c r="C46" s="49" t="s">
        <v>116</v>
      </c>
      <c r="D46" s="75">
        <f>1362587*1.1</f>
        <v>1498845.7000000002</v>
      </c>
      <c r="E46" s="75">
        <f>+D46*1.1</f>
        <v>1648730.2700000003</v>
      </c>
      <c r="F46" s="75">
        <f>+E46*1.15</f>
        <v>1896039.8105000001</v>
      </c>
      <c r="G46" s="75">
        <f>+F46*1.15</f>
        <v>2180445.782075</v>
      </c>
      <c r="J46" s="9">
        <f>1362587</f>
        <v>1362587</v>
      </c>
    </row>
    <row r="47" spans="2:10">
      <c r="B47" s="3"/>
      <c r="C47" s="49" t="s">
        <v>117</v>
      </c>
      <c r="D47" s="76">
        <f>(308954+93258)*1.1</f>
        <v>442433.2</v>
      </c>
      <c r="E47" s="76">
        <f>+D47*1.1</f>
        <v>486676.52000000008</v>
      </c>
      <c r="F47" s="76">
        <f>+E47*1.15</f>
        <v>559677.99800000002</v>
      </c>
      <c r="G47" s="76">
        <f>F47*1.15</f>
        <v>643629.69770000002</v>
      </c>
      <c r="J47" s="22">
        <f>(308954+93258)</f>
        <v>402212</v>
      </c>
    </row>
    <row r="48" spans="2:10">
      <c r="C48" s="49" t="s">
        <v>118</v>
      </c>
      <c r="D48" s="75">
        <v>-55419</v>
      </c>
      <c r="E48" s="75">
        <v>-56250</v>
      </c>
      <c r="F48" s="75">
        <v>-57094</v>
      </c>
      <c r="G48" s="75">
        <f>+F48*1.015</f>
        <v>-57950.409999999996</v>
      </c>
      <c r="J48" s="9">
        <v>-55419</v>
      </c>
    </row>
    <row r="49" spans="3:10">
      <c r="C49" s="49" t="s">
        <v>119</v>
      </c>
      <c r="D49" s="75">
        <f>SUM(D46:D48)</f>
        <v>1885859.9000000001</v>
      </c>
      <c r="E49" s="75">
        <f t="shared" ref="E49:G49" si="2">SUM(E46:E48)</f>
        <v>2079156.7900000005</v>
      </c>
      <c r="F49" s="75">
        <f t="shared" si="2"/>
        <v>2398623.8085000003</v>
      </c>
      <c r="G49" s="75">
        <f t="shared" si="2"/>
        <v>2766125.0697749997</v>
      </c>
      <c r="J49" s="9">
        <f>SUM(J46:J48)</f>
        <v>1709380</v>
      </c>
    </row>
    <row r="50" spans="3:10">
      <c r="C50" s="49" t="s">
        <v>120</v>
      </c>
      <c r="D50" s="75">
        <v>-500000</v>
      </c>
      <c r="E50" s="75">
        <v>-500000</v>
      </c>
      <c r="F50" s="75">
        <v>-500000</v>
      </c>
      <c r="G50" s="75">
        <v>-500000</v>
      </c>
      <c r="J50" s="9">
        <v>-500000</v>
      </c>
    </row>
    <row r="51" spans="3:10">
      <c r="C51" s="73" t="s">
        <v>121</v>
      </c>
      <c r="D51" s="75">
        <f>+D49+D50</f>
        <v>1385859.9000000001</v>
      </c>
      <c r="E51" s="75">
        <f t="shared" ref="E51:G51" si="3">+E49+E50</f>
        <v>1579156.7900000005</v>
      </c>
      <c r="F51" s="75">
        <f t="shared" si="3"/>
        <v>1898623.8085000003</v>
      </c>
      <c r="G51" s="75">
        <f t="shared" si="3"/>
        <v>2266125.0697749997</v>
      </c>
      <c r="J51" s="9">
        <f>+J49+J50</f>
        <v>1209380</v>
      </c>
    </row>
    <row r="52" spans="3:10">
      <c r="C52" s="49" t="s">
        <v>115</v>
      </c>
      <c r="D52" s="77">
        <f>+D51*0.15</f>
        <v>207878.98500000002</v>
      </c>
      <c r="E52" s="77">
        <f t="shared" ref="E52:G52" si="4">+E51*0.15</f>
        <v>236873.51850000006</v>
      </c>
      <c r="F52" s="77">
        <f t="shared" si="4"/>
        <v>284793.57127500005</v>
      </c>
      <c r="G52" s="77">
        <f t="shared" si="4"/>
        <v>339918.76046624995</v>
      </c>
      <c r="J52" s="24">
        <f>+J51*0.15</f>
        <v>181407</v>
      </c>
    </row>
    <row r="53" spans="3:10">
      <c r="C53" s="49"/>
      <c r="D53" s="76"/>
      <c r="E53" s="76"/>
      <c r="F53" s="76"/>
      <c r="G53" s="76"/>
      <c r="J53" s="22"/>
    </row>
    <row r="54" spans="3:10">
      <c r="C54" s="73" t="s">
        <v>122</v>
      </c>
      <c r="D54" s="76"/>
      <c r="E54" s="76"/>
      <c r="F54" s="76"/>
      <c r="G54" s="76"/>
      <c r="J54" s="22"/>
    </row>
    <row r="55" spans="3:10">
      <c r="C55" s="49" t="s">
        <v>123</v>
      </c>
      <c r="D55" s="76">
        <f>+D52</f>
        <v>207878.98500000002</v>
      </c>
      <c r="E55" s="76">
        <f>+E52</f>
        <v>236873.51850000006</v>
      </c>
      <c r="F55" s="76">
        <f t="shared" ref="F55:G55" si="5">+F52</f>
        <v>284793.57127500005</v>
      </c>
      <c r="G55" s="76">
        <f t="shared" si="5"/>
        <v>339918.76046624995</v>
      </c>
      <c r="J55" s="22">
        <f>+J52</f>
        <v>181407</v>
      </c>
    </row>
    <row r="56" spans="3:10">
      <c r="C56" s="49" t="s">
        <v>124</v>
      </c>
      <c r="D56" s="76">
        <v>0</v>
      </c>
      <c r="E56" s="76">
        <v>0</v>
      </c>
      <c r="F56" s="76">
        <v>0</v>
      </c>
      <c r="G56" s="76">
        <v>0</v>
      </c>
      <c r="J56" s="22">
        <v>0</v>
      </c>
    </row>
    <row r="57" spans="3:10">
      <c r="C57" s="49" t="s">
        <v>125</v>
      </c>
      <c r="D57" s="76">
        <v>181407</v>
      </c>
      <c r="E57" s="76">
        <f>+D61+D60</f>
        <v>207878.98500000002</v>
      </c>
      <c r="F57" s="76">
        <f>+E60+E61</f>
        <v>236873.51850000006</v>
      </c>
      <c r="G57" s="76">
        <f>+F61+F60</f>
        <v>284793.57127500005</v>
      </c>
      <c r="J57" s="22">
        <v>0</v>
      </c>
    </row>
    <row r="58" spans="3:10">
      <c r="C58" s="73" t="s">
        <v>126</v>
      </c>
      <c r="D58" s="76">
        <f>+D55-D57</f>
        <v>26471.985000000015</v>
      </c>
      <c r="E58" s="76">
        <f>+E55-E57</f>
        <v>28994.533500000049</v>
      </c>
      <c r="F58" s="76">
        <f>+F55-F57</f>
        <v>47920.052774999989</v>
      </c>
      <c r="G58" s="76">
        <f>+G55-G57</f>
        <v>55125.189191249898</v>
      </c>
      <c r="J58" s="22">
        <f>+J55</f>
        <v>181407</v>
      </c>
    </row>
    <row r="59" spans="3:10">
      <c r="C59" s="49" t="s">
        <v>127</v>
      </c>
      <c r="D59" s="76">
        <v>0</v>
      </c>
      <c r="E59" s="76">
        <v>0</v>
      </c>
      <c r="F59" s="76">
        <v>0</v>
      </c>
      <c r="G59" s="76">
        <v>0</v>
      </c>
      <c r="J59" s="22">
        <v>0</v>
      </c>
    </row>
    <row r="60" spans="3:10">
      <c r="C60" s="49" t="s">
        <v>128</v>
      </c>
      <c r="D60" s="76">
        <f>+D55/2</f>
        <v>103939.49250000001</v>
      </c>
      <c r="E60" s="76">
        <f>+E55/2</f>
        <v>118436.75925000003</v>
      </c>
      <c r="F60" s="76">
        <f>+F55/2</f>
        <v>142396.78563750003</v>
      </c>
      <c r="G60" s="76">
        <f>+G55/2</f>
        <v>169959.38023312498</v>
      </c>
      <c r="J60" s="22">
        <f>+J58/2</f>
        <v>90703.5</v>
      </c>
    </row>
    <row r="61" spans="3:10">
      <c r="C61" s="49" t="s">
        <v>129</v>
      </c>
      <c r="D61" s="76">
        <f>+D55/2</f>
        <v>103939.49250000001</v>
      </c>
      <c r="E61" s="76">
        <f t="shared" ref="E61:G61" si="6">+E55/2</f>
        <v>118436.75925000003</v>
      </c>
      <c r="F61" s="76">
        <f t="shared" si="6"/>
        <v>142396.78563750003</v>
      </c>
      <c r="G61" s="76">
        <f t="shared" si="6"/>
        <v>169959.38023312498</v>
      </c>
      <c r="J61" s="22">
        <f>+J60</f>
        <v>90703.5</v>
      </c>
    </row>
    <row r="62" spans="3:10">
      <c r="C62" s="49"/>
      <c r="D62" s="78">
        <f>SUM(D58:D61)</f>
        <v>234350.97000000003</v>
      </c>
      <c r="E62" s="78">
        <f>SUM(E58:E61)</f>
        <v>265868.05200000014</v>
      </c>
      <c r="F62" s="78">
        <f>SUM(F58:F61)</f>
        <v>332713.62405000004</v>
      </c>
      <c r="G62" s="78">
        <f t="shared" ref="G62" si="7">SUM(G58:G61)</f>
        <v>395043.94965749985</v>
      </c>
      <c r="J62" s="14">
        <f>SUM(J58:J61)</f>
        <v>362814</v>
      </c>
    </row>
  </sheetData>
  <mergeCells count="2">
    <mergeCell ref="C38:G39"/>
    <mergeCell ref="C41:G42"/>
  </mergeCells>
  <pageMargins left="0.7" right="0.7" top="0.75" bottom="0.75" header="0.3" footer="0.3"/>
  <pageSetup paperSize="9" scale="81" orientation="portrait" r:id="rId1"/>
  <headerFooter>
    <oddFooter>&amp;RPage 01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66"/>
  <sheetViews>
    <sheetView workbookViewId="0">
      <pane ySplit="3" topLeftCell="A4" activePane="bottomLeft" state="frozen"/>
      <selection pane="bottomLeft" activeCell="R17" sqref="R17"/>
    </sheetView>
  </sheetViews>
  <sheetFormatPr defaultColWidth="9.140625" defaultRowHeight="14.45"/>
  <cols>
    <col min="4" max="5" width="11" customWidth="1"/>
    <col min="6" max="7" width="11.5703125" style="59" bestFit="1" customWidth="1"/>
    <col min="8" max="8" width="13.28515625" style="59" bestFit="1" customWidth="1"/>
    <col min="9" max="11" width="11.5703125" style="59" bestFit="1" customWidth="1"/>
    <col min="13" max="13" width="14.28515625" style="59" bestFit="1" customWidth="1"/>
    <col min="14" max="14" width="13.28515625" style="59" bestFit="1" customWidth="1"/>
  </cols>
  <sheetData>
    <row r="1" spans="2:14">
      <c r="D1">
        <v>44200</v>
      </c>
      <c r="F1" s="59">
        <v>36100</v>
      </c>
      <c r="H1" s="59">
        <v>100000</v>
      </c>
    </row>
    <row r="2" spans="2:14">
      <c r="D2" s="93" t="s">
        <v>130</v>
      </c>
      <c r="E2" s="93"/>
      <c r="F2" s="60" t="s">
        <v>131</v>
      </c>
      <c r="G2" s="60"/>
      <c r="H2" s="60" t="s">
        <v>132</v>
      </c>
      <c r="I2" s="60"/>
      <c r="J2" s="60" t="s">
        <v>133</v>
      </c>
      <c r="K2" s="60"/>
    </row>
    <row r="3" spans="2:14" s="15" customFormat="1">
      <c r="D3" s="15" t="s">
        <v>134</v>
      </c>
      <c r="E3" s="15" t="s">
        <v>56</v>
      </c>
      <c r="F3" s="60" t="s">
        <v>134</v>
      </c>
      <c r="G3" s="60" t="s">
        <v>56</v>
      </c>
      <c r="H3" s="60" t="s">
        <v>134</v>
      </c>
      <c r="I3" s="60" t="s">
        <v>56</v>
      </c>
      <c r="J3" s="60" t="s">
        <v>134</v>
      </c>
      <c r="K3" s="60" t="s">
        <v>56</v>
      </c>
      <c r="M3" s="60" t="s">
        <v>134</v>
      </c>
      <c r="N3" s="60" t="s">
        <v>56</v>
      </c>
    </row>
    <row r="4" spans="2:14">
      <c r="B4" s="57"/>
    </row>
    <row r="5" spans="2:14">
      <c r="B5" s="54">
        <v>44013</v>
      </c>
      <c r="M5" s="59">
        <f>+D5+F5+H5+J5</f>
        <v>0</v>
      </c>
      <c r="N5" s="59">
        <f>E5+G5+I5+K5</f>
        <v>0</v>
      </c>
    </row>
    <row r="6" spans="2:14">
      <c r="B6" s="54">
        <v>44044</v>
      </c>
      <c r="D6" s="33">
        <f t="shared" ref="D6:D17" si="0">+D$1-E6</f>
        <v>39616.666666666664</v>
      </c>
      <c r="E6" s="33">
        <v>4583.333333333333</v>
      </c>
      <c r="M6" s="59">
        <f t="shared" ref="M6:M63" si="1">+D6+F6+H6+J6</f>
        <v>39616.666666666664</v>
      </c>
      <c r="N6" s="59">
        <f t="shared" ref="N6:N63" si="2">E6+G6+I6+K6</f>
        <v>4583.333333333333</v>
      </c>
    </row>
    <row r="7" spans="2:14">
      <c r="B7" s="54">
        <v>44075</v>
      </c>
      <c r="D7" s="33">
        <f t="shared" si="0"/>
        <v>39979.735379335129</v>
      </c>
      <c r="E7" s="33">
        <v>4220.2646206648706</v>
      </c>
      <c r="M7" s="59">
        <f t="shared" si="1"/>
        <v>39979.735379335129</v>
      </c>
      <c r="N7" s="59">
        <f t="shared" si="2"/>
        <v>4220.2646206648706</v>
      </c>
    </row>
    <row r="8" spans="2:14">
      <c r="B8" s="54">
        <v>44105</v>
      </c>
      <c r="D8" s="33">
        <f t="shared" si="0"/>
        <v>40346.132221869717</v>
      </c>
      <c r="E8" s="33">
        <v>3853.8677781302799</v>
      </c>
      <c r="M8" s="59">
        <f t="shared" si="1"/>
        <v>40346.132221869717</v>
      </c>
      <c r="N8" s="59">
        <f t="shared" si="2"/>
        <v>3853.8677781302799</v>
      </c>
    </row>
    <row r="9" spans="2:14">
      <c r="B9" s="54">
        <v>44136</v>
      </c>
      <c r="D9" s="33">
        <f t="shared" si="0"/>
        <v>40715.887702127548</v>
      </c>
      <c r="E9" s="33">
        <v>3484.1122978724557</v>
      </c>
      <c r="M9" s="59">
        <f t="shared" si="1"/>
        <v>40715.887702127548</v>
      </c>
      <c r="N9" s="59">
        <f t="shared" si="2"/>
        <v>3484.1122978724557</v>
      </c>
    </row>
    <row r="10" spans="2:14">
      <c r="B10" s="54">
        <v>44166</v>
      </c>
      <c r="D10" s="33">
        <f t="shared" si="0"/>
        <v>41089.032607621062</v>
      </c>
      <c r="E10" s="33">
        <v>3110.9673923789346</v>
      </c>
      <c r="F10" s="59">
        <f t="shared" ref="F10:F39" si="3">+F$1-G10</f>
        <v>31100</v>
      </c>
      <c r="G10" s="59">
        <v>5000</v>
      </c>
      <c r="M10" s="59">
        <f t="shared" si="1"/>
        <v>72189.032607621062</v>
      </c>
      <c r="N10" s="59">
        <f t="shared" si="2"/>
        <v>8110.9673923789342</v>
      </c>
    </row>
    <row r="11" spans="2:14">
      <c r="B11" s="54">
        <v>44197</v>
      </c>
      <c r="D11" s="33">
        <f t="shared" si="0"/>
        <v>41465.598008081608</v>
      </c>
      <c r="E11" s="33">
        <v>2734.4019919183897</v>
      </c>
      <c r="F11" s="59">
        <f t="shared" si="3"/>
        <v>31254.89459206914</v>
      </c>
      <c r="G11" s="59">
        <v>4845.1054079308597</v>
      </c>
      <c r="M11" s="59">
        <f t="shared" si="1"/>
        <v>72720.492600150756</v>
      </c>
      <c r="N11" s="59">
        <f t="shared" si="2"/>
        <v>7579.5073998492499</v>
      </c>
    </row>
    <row r="12" spans="2:14">
      <c r="B12" s="54">
        <v>44228</v>
      </c>
      <c r="D12" s="33">
        <f t="shared" si="0"/>
        <v>41845.615258046375</v>
      </c>
      <c r="E12" s="33">
        <v>2354.3847419536232</v>
      </c>
      <c r="F12" s="59">
        <f>+F$1-G12</f>
        <v>31410.563657098624</v>
      </c>
      <c r="G12" s="59">
        <v>4689.4363429013738</v>
      </c>
      <c r="M12" s="59">
        <f t="shared" si="1"/>
        <v>73256.178915144992</v>
      </c>
      <c r="N12" s="59">
        <f t="shared" si="2"/>
        <v>7043.821084854997</v>
      </c>
    </row>
    <row r="13" spans="2:14">
      <c r="B13" s="54">
        <v>44256</v>
      </c>
      <c r="D13" s="33">
        <f t="shared" si="0"/>
        <v>42229.115999469155</v>
      </c>
      <c r="E13" s="33">
        <v>1970.8840005308464</v>
      </c>
      <c r="F13" s="59">
        <f t="shared" si="3"/>
        <v>31567.011067453259</v>
      </c>
      <c r="G13" s="59">
        <v>4532.9889325467402</v>
      </c>
      <c r="H13" s="59">
        <f>+H$1-I13</f>
        <v>75000</v>
      </c>
      <c r="I13" s="59">
        <v>25000</v>
      </c>
      <c r="M13" s="59">
        <f t="shared" si="1"/>
        <v>148796.12706692243</v>
      </c>
      <c r="N13" s="59">
        <f t="shared" si="2"/>
        <v>31503.872933077586</v>
      </c>
    </row>
    <row r="14" spans="2:14">
      <c r="B14" s="54">
        <v>44287</v>
      </c>
      <c r="D14" s="33">
        <f t="shared" si="0"/>
        <v>42616.132164354975</v>
      </c>
      <c r="E14" s="33">
        <v>1583.8678356450271</v>
      </c>
      <c r="F14" s="59">
        <f t="shared" si="3"/>
        <v>31724.240714859665</v>
      </c>
      <c r="G14" s="59">
        <v>4375.7592851403342</v>
      </c>
      <c r="H14" s="59">
        <f t="shared" ref="H14:H48" si="4">+H$1-I14</f>
        <v>75618.12672066658</v>
      </c>
      <c r="I14" s="59">
        <v>24381.87327933342</v>
      </c>
      <c r="M14" s="59">
        <f t="shared" si="1"/>
        <v>149958.49959988124</v>
      </c>
      <c r="N14" s="59">
        <f t="shared" si="2"/>
        <v>30341.500400118781</v>
      </c>
    </row>
    <row r="15" spans="2:14">
      <c r="B15" s="54">
        <v>44317</v>
      </c>
      <c r="D15" s="33">
        <f t="shared" si="0"/>
        <v>43006.695977418909</v>
      </c>
      <c r="E15" s="33">
        <v>1193.304022581088</v>
      </c>
      <c r="F15" s="59">
        <f t="shared" si="3"/>
        <v>31882.256510503106</v>
      </c>
      <c r="G15" s="59">
        <v>4217.7434894968947</v>
      </c>
      <c r="H15" s="59">
        <f t="shared" si="4"/>
        <v>76241.404497338721</v>
      </c>
      <c r="I15" s="59">
        <v>23758.595502661283</v>
      </c>
      <c r="M15" s="59">
        <f t="shared" si="1"/>
        <v>151130.35698526073</v>
      </c>
      <c r="N15" s="59">
        <f t="shared" si="2"/>
        <v>29169.643014739268</v>
      </c>
    </row>
    <row r="16" spans="2:14">
      <c r="B16" s="54">
        <v>44348</v>
      </c>
      <c r="D16" s="33">
        <f t="shared" si="0"/>
        <v>43400.839958769269</v>
      </c>
      <c r="E16" s="33">
        <v>799.16004123072946</v>
      </c>
      <c r="F16" s="59">
        <f t="shared" si="3"/>
        <v>32041.062385124762</v>
      </c>
      <c r="G16" s="59">
        <v>4058.9376148752394</v>
      </c>
      <c r="H16" s="59">
        <f t="shared" si="4"/>
        <v>76869.876255483119</v>
      </c>
      <c r="I16" s="59">
        <v>23130.123744516881</v>
      </c>
      <c r="M16" s="59">
        <f t="shared" si="1"/>
        <v>152311.77859937714</v>
      </c>
      <c r="N16" s="59">
        <f t="shared" si="2"/>
        <v>27988.22140062285</v>
      </c>
    </row>
    <row r="17" spans="2:14">
      <c r="B17" s="58">
        <v>44378</v>
      </c>
      <c r="D17" s="61">
        <f t="shared" si="0"/>
        <v>43798.596926615341</v>
      </c>
      <c r="E17" s="65">
        <v>401.40307338465919</v>
      </c>
      <c r="F17" s="62">
        <f t="shared" si="3"/>
        <v>32200.662289119526</v>
      </c>
      <c r="G17" s="64">
        <v>3899.3377108804757</v>
      </c>
      <c r="H17" s="62">
        <f t="shared" si="4"/>
        <v>77503.585278278726</v>
      </c>
      <c r="I17" s="64">
        <v>22496.414721721274</v>
      </c>
      <c r="J17" s="62">
        <v>110910.17428761369</v>
      </c>
      <c r="K17" s="64">
        <v>30000</v>
      </c>
      <c r="M17" s="62">
        <f t="shared" si="1"/>
        <v>264413.0187816273</v>
      </c>
      <c r="N17" s="64">
        <f t="shared" si="2"/>
        <v>56797.155505986404</v>
      </c>
    </row>
    <row r="18" spans="2:14">
      <c r="B18" s="58">
        <v>44409</v>
      </c>
      <c r="F18" s="62">
        <f t="shared" si="3"/>
        <v>32361.060192634261</v>
      </c>
      <c r="G18" s="64">
        <v>3738.939807365738</v>
      </c>
      <c r="H18" s="62">
        <f t="shared" si="4"/>
        <v>78142.575209597635</v>
      </c>
      <c r="I18" s="64">
        <v>21857.424790402365</v>
      </c>
      <c r="J18" s="62">
        <v>111464.72515905178</v>
      </c>
      <c r="K18" s="64">
        <v>29445.44912856193</v>
      </c>
      <c r="M18" s="62">
        <f t="shared" si="1"/>
        <v>221968.36056128368</v>
      </c>
      <c r="N18" s="64">
        <f t="shared" si="2"/>
        <v>55041.81372633003</v>
      </c>
    </row>
    <row r="19" spans="2:14">
      <c r="B19" s="58">
        <v>44440</v>
      </c>
      <c r="F19" s="62">
        <f t="shared" si="3"/>
        <v>32522.260085666574</v>
      </c>
      <c r="G19" s="64">
        <v>3577.7399143334264</v>
      </c>
      <c r="H19" s="62">
        <f t="shared" si="4"/>
        <v>78786.890057010867</v>
      </c>
      <c r="I19" s="64">
        <v>21213.109942989136</v>
      </c>
      <c r="J19" s="62">
        <v>112022.04878484704</v>
      </c>
      <c r="K19" s="64">
        <v>28888.125502766674</v>
      </c>
      <c r="M19" s="62">
        <f t="shared" si="1"/>
        <v>223331.1989275245</v>
      </c>
      <c r="N19" s="64">
        <f t="shared" si="2"/>
        <v>53678.975360089236</v>
      </c>
    </row>
    <row r="20" spans="2:14">
      <c r="B20" s="58">
        <v>44470</v>
      </c>
      <c r="F20" s="62">
        <f t="shared" si="3"/>
        <v>32684.265978164047</v>
      </c>
      <c r="G20" s="64">
        <v>3415.7340218359536</v>
      </c>
      <c r="H20" s="62">
        <f t="shared" si="4"/>
        <v>79436.574194819201</v>
      </c>
      <c r="I20" s="64">
        <v>20563.425805180796</v>
      </c>
      <c r="J20" s="62">
        <v>112582.15902877125</v>
      </c>
      <c r="K20" s="64">
        <v>28328.015258842435</v>
      </c>
      <c r="M20" s="62">
        <f t="shared" si="1"/>
        <v>224702.99920175449</v>
      </c>
      <c r="N20" s="64">
        <f t="shared" si="2"/>
        <v>52307.175085859184</v>
      </c>
    </row>
    <row r="21" spans="2:14">
      <c r="B21" s="58">
        <v>44501</v>
      </c>
      <c r="F21" s="62">
        <f t="shared" si="3"/>
        <v>32847.081900124009</v>
      </c>
      <c r="G21" s="64">
        <v>3252.9180998759934</v>
      </c>
      <c r="H21" s="62">
        <f t="shared" si="4"/>
        <v>80091.672367109277</v>
      </c>
      <c r="I21" s="64">
        <v>19908.32763289072</v>
      </c>
      <c r="J21" s="62">
        <v>113145.06982391514</v>
      </c>
      <c r="K21" s="64">
        <v>27765.104463698579</v>
      </c>
      <c r="M21" s="62">
        <f t="shared" si="1"/>
        <v>226083.82409114842</v>
      </c>
      <c r="N21" s="64">
        <f t="shared" si="2"/>
        <v>50926.350196465297</v>
      </c>
    </row>
    <row r="22" spans="2:14">
      <c r="B22" s="58">
        <v>44531</v>
      </c>
      <c r="F22" s="62">
        <f t="shared" si="3"/>
        <v>33010.711901693765</v>
      </c>
      <c r="G22" s="64">
        <v>3089.2880983062332</v>
      </c>
      <c r="H22" s="62">
        <f t="shared" si="4"/>
        <v>80752.229690835113</v>
      </c>
      <c r="I22" s="64">
        <v>19247.770309164891</v>
      </c>
      <c r="J22" s="62">
        <v>113710.79517303468</v>
      </c>
      <c r="K22" s="64">
        <v>27199.379114579002</v>
      </c>
      <c r="M22" s="62">
        <f t="shared" si="1"/>
        <v>227473.73676556355</v>
      </c>
      <c r="N22" s="64">
        <f t="shared" si="2"/>
        <v>49536.437522050124</v>
      </c>
    </row>
    <row r="23" spans="2:14">
      <c r="B23" s="58">
        <v>44562</v>
      </c>
      <c r="F23" s="62">
        <f t="shared" si="3"/>
        <v>33175.160053271378</v>
      </c>
      <c r="G23" s="64">
        <v>2924.839946728624</v>
      </c>
      <c r="H23" s="62">
        <f t="shared" si="4"/>
        <v>81418.291658925315</v>
      </c>
      <c r="I23" s="64">
        <v>18581.708341074685</v>
      </c>
      <c r="J23" s="62">
        <v>114279.34914889986</v>
      </c>
      <c r="K23" s="64">
        <v>26630.82513871383</v>
      </c>
      <c r="M23" s="62">
        <f t="shared" si="1"/>
        <v>228872.80086109653</v>
      </c>
      <c r="N23" s="64">
        <f t="shared" si="2"/>
        <v>48137.373426517137</v>
      </c>
    </row>
    <row r="24" spans="2:14">
      <c r="B24" s="58">
        <v>44593</v>
      </c>
      <c r="F24" s="62">
        <f t="shared" si="3"/>
        <v>33340.430445606871</v>
      </c>
      <c r="G24" s="64">
        <v>2759.5695543931265</v>
      </c>
      <c r="H24" s="62">
        <f t="shared" si="4"/>
        <v>82089.904143416279</v>
      </c>
      <c r="I24" s="64">
        <v>17910.095856583725</v>
      </c>
      <c r="J24" s="62">
        <v>114850.74589464435</v>
      </c>
      <c r="K24" s="64">
        <v>26059.42839296933</v>
      </c>
      <c r="M24" s="62">
        <f t="shared" si="1"/>
        <v>230281.08048366749</v>
      </c>
      <c r="N24" s="64">
        <f t="shared" si="2"/>
        <v>46729.093803946176</v>
      </c>
    </row>
    <row r="25" spans="2:14">
      <c r="B25" s="58">
        <v>44621</v>
      </c>
      <c r="F25" s="62">
        <f t="shared" si="3"/>
        <v>33506.527189904045</v>
      </c>
      <c r="G25" s="64">
        <v>2593.4728100959524</v>
      </c>
      <c r="H25" s="62">
        <f t="shared" si="4"/>
        <v>82767.113398611327</v>
      </c>
      <c r="I25" s="64">
        <v>17232.886601388673</v>
      </c>
      <c r="J25" s="62">
        <v>115424.99962411761</v>
      </c>
      <c r="K25" s="64">
        <v>25485.174663496105</v>
      </c>
      <c r="M25" s="62">
        <f t="shared" si="1"/>
        <v>231698.64021263301</v>
      </c>
      <c r="N25" s="64">
        <f t="shared" si="2"/>
        <v>45311.534074980729</v>
      </c>
    </row>
    <row r="26" spans="2:14">
      <c r="B26" s="58">
        <v>44652</v>
      </c>
      <c r="F26" s="62">
        <f t="shared" si="3"/>
        <v>33673.454417922709</v>
      </c>
      <c r="G26" s="64">
        <v>2426.5455820772918</v>
      </c>
      <c r="H26" s="62">
        <f t="shared" si="4"/>
        <v>83449.966064266337</v>
      </c>
      <c r="I26" s="64">
        <v>16550.033935733663</v>
      </c>
      <c r="J26" s="62">
        <v>116002.12462223819</v>
      </c>
      <c r="K26" s="64">
        <v>24908.049665375522</v>
      </c>
      <c r="M26" s="62">
        <f t="shared" si="1"/>
        <v>233125.54510442723</v>
      </c>
      <c r="N26" s="64">
        <f t="shared" si="2"/>
        <v>43884.62918318648</v>
      </c>
    </row>
    <row r="27" spans="2:14">
      <c r="B27" s="58">
        <v>44682</v>
      </c>
      <c r="F27" s="62">
        <f t="shared" si="3"/>
        <v>33841.216282081463</v>
      </c>
      <c r="G27" s="64">
        <v>2258.7837179185381</v>
      </c>
      <c r="H27" s="62">
        <f t="shared" si="4"/>
        <v>84138.5091688018</v>
      </c>
      <c r="I27" s="64">
        <v>15861.490831198194</v>
      </c>
      <c r="J27" s="62">
        <v>116582.13524534939</v>
      </c>
      <c r="K27" s="64">
        <v>24328.039042264329</v>
      </c>
      <c r="M27" s="62">
        <f t="shared" si="1"/>
        <v>234561.86069623264</v>
      </c>
      <c r="N27" s="64">
        <f t="shared" si="2"/>
        <v>42448.313591381062</v>
      </c>
    </row>
    <row r="28" spans="2:14">
      <c r="B28" s="58">
        <v>44713</v>
      </c>
      <c r="F28" s="62">
        <f t="shared" si="3"/>
        <v>34009.816955561007</v>
      </c>
      <c r="G28" s="64">
        <v>2090.1830444389902</v>
      </c>
      <c r="H28" s="62">
        <f t="shared" si="4"/>
        <v>84832.790132541733</v>
      </c>
      <c r="I28" s="64">
        <v>15167.209867458265</v>
      </c>
      <c r="J28" s="62">
        <v>117165.04592157614</v>
      </c>
      <c r="K28" s="64">
        <v>23745.128366037581</v>
      </c>
      <c r="M28" s="62">
        <f t="shared" si="1"/>
        <v>236007.65300967888</v>
      </c>
      <c r="N28" s="64">
        <f t="shared" si="2"/>
        <v>41002.521277934837</v>
      </c>
    </row>
    <row r="29" spans="2:14">
      <c r="B29" s="56">
        <v>44743</v>
      </c>
      <c r="F29" s="63">
        <f t="shared" si="3"/>
        <v>34179.260632407953</v>
      </c>
      <c r="G29" s="62">
        <v>1920.739367592045</v>
      </c>
      <c r="H29" s="63">
        <f t="shared" si="4"/>
        <v>85532.856770979502</v>
      </c>
      <c r="I29" s="62">
        <v>14467.143229020499</v>
      </c>
      <c r="J29" s="63">
        <v>117750.87115118401</v>
      </c>
      <c r="K29" s="62">
        <v>23159.303136429702</v>
      </c>
      <c r="M29" s="63">
        <f t="shared" si="1"/>
        <v>237462.98855457146</v>
      </c>
      <c r="N29" s="62">
        <f t="shared" si="2"/>
        <v>39547.18573304225</v>
      </c>
    </row>
    <row r="30" spans="2:14">
      <c r="B30" s="56">
        <v>44774</v>
      </c>
      <c r="F30" s="63">
        <f t="shared" si="3"/>
        <v>34349.551527639138</v>
      </c>
      <c r="G30" s="62">
        <v>1750.448472360865</v>
      </c>
      <c r="H30" s="63">
        <f t="shared" si="4"/>
        <v>86238.757298070908</v>
      </c>
      <c r="I30" s="62">
        <v>13761.24270192909</v>
      </c>
      <c r="J30" s="63">
        <v>118339.62550693993</v>
      </c>
      <c r="K30" s="62">
        <v>22570.548780673784</v>
      </c>
      <c r="M30" s="63">
        <f t="shared" si="1"/>
        <v>238927.93433264998</v>
      </c>
      <c r="N30" s="62">
        <f t="shared" si="2"/>
        <v>38082.239954963741</v>
      </c>
    </row>
    <row r="31" spans="2:14">
      <c r="B31" s="56">
        <v>44805</v>
      </c>
      <c r="F31" s="63">
        <f t="shared" si="3"/>
        <v>34520.693877346472</v>
      </c>
      <c r="G31" s="62">
        <v>1579.3061226535294</v>
      </c>
      <c r="H31" s="63">
        <f t="shared" si="4"/>
        <v>86950.540329554759</v>
      </c>
      <c r="I31" s="62">
        <v>13049.459670445249</v>
      </c>
      <c r="J31" s="63">
        <v>118931.32363447463</v>
      </c>
      <c r="K31" s="62">
        <v>21978.850653139085</v>
      </c>
      <c r="M31" s="63">
        <f t="shared" si="1"/>
        <v>240402.55784137585</v>
      </c>
      <c r="N31" s="62">
        <f t="shared" si="2"/>
        <v>36607.616446237866</v>
      </c>
    </row>
    <row r="32" spans="2:14">
      <c r="B32" s="56">
        <v>44835</v>
      </c>
      <c r="F32" s="63">
        <f t="shared" si="3"/>
        <v>34692.691938802345</v>
      </c>
      <c r="G32" s="62">
        <v>1407.3080611976568</v>
      </c>
      <c r="H32" s="63">
        <f t="shared" si="4"/>
        <v>87668.254886300958</v>
      </c>
      <c r="I32" s="62">
        <v>12331.745113699044</v>
      </c>
      <c r="J32" s="63">
        <v>119525.980252647</v>
      </c>
      <c r="K32" s="62">
        <v>21384.194034966709</v>
      </c>
      <c r="M32" s="63">
        <f t="shared" si="1"/>
        <v>241886.92707775033</v>
      </c>
      <c r="N32" s="62">
        <f t="shared" si="2"/>
        <v>35123.24720986341</v>
      </c>
    </row>
    <row r="33" spans="2:14">
      <c r="B33" s="56">
        <v>44866</v>
      </c>
      <c r="F33" s="63">
        <f t="shared" si="3"/>
        <v>34865.549990565494</v>
      </c>
      <c r="G33" s="62">
        <v>1234.4500094345049</v>
      </c>
      <c r="H33" s="63">
        <f t="shared" si="4"/>
        <v>88391.950397686713</v>
      </c>
      <c r="I33" s="62">
        <v>11608.049602313286</v>
      </c>
      <c r="J33" s="63">
        <v>120123.61015391027</v>
      </c>
      <c r="K33" s="62">
        <v>20786.564133703476</v>
      </c>
      <c r="M33" s="63">
        <f t="shared" si="1"/>
        <v>243381.11054216247</v>
      </c>
      <c r="N33" s="62">
        <f t="shared" si="2"/>
        <v>33629.063745451262</v>
      </c>
    </row>
    <row r="34" spans="2:14">
      <c r="B34" s="56">
        <v>44896</v>
      </c>
      <c r="F34" s="63">
        <f t="shared" si="3"/>
        <v>35039.272332587461</v>
      </c>
      <c r="G34" s="62">
        <v>1060.7276674125371</v>
      </c>
      <c r="H34" s="63">
        <f t="shared" si="4"/>
        <v>89121.676705000689</v>
      </c>
      <c r="I34" s="62">
        <v>10878.323294999316</v>
      </c>
      <c r="J34" s="63">
        <v>120724.22820467979</v>
      </c>
      <c r="K34" s="62">
        <v>20185.946082933926</v>
      </c>
      <c r="M34" s="63">
        <f t="shared" si="1"/>
        <v>244885.17724226794</v>
      </c>
      <c r="N34" s="62">
        <f t="shared" si="2"/>
        <v>32124.997045345779</v>
      </c>
    </row>
    <row r="35" spans="2:14">
      <c r="B35" s="56">
        <v>44927</v>
      </c>
      <c r="F35" s="63">
        <f t="shared" si="3"/>
        <v>35213.863286319538</v>
      </c>
      <c r="G35" s="62">
        <v>886.13671368045959</v>
      </c>
      <c r="H35" s="63">
        <f t="shared" si="4"/>
        <v>89857.484064875607</v>
      </c>
      <c r="I35" s="62">
        <v>10142.515935124393</v>
      </c>
      <c r="J35" s="63">
        <v>121327.84934570319</v>
      </c>
      <c r="K35" s="62">
        <v>19582.324941910523</v>
      </c>
      <c r="M35" s="63">
        <f t="shared" si="1"/>
        <v>246399.19669689832</v>
      </c>
      <c r="N35" s="62">
        <f t="shared" si="2"/>
        <v>30610.977590715374</v>
      </c>
    </row>
    <row r="36" spans="2:14">
      <c r="B36" s="56">
        <v>44958</v>
      </c>
      <c r="F36" s="63">
        <f t="shared" si="3"/>
        <v>35389.327194820275</v>
      </c>
      <c r="G36" s="62">
        <v>710.67280517972176</v>
      </c>
      <c r="H36" s="63">
        <f t="shared" si="4"/>
        <v>90599.423152749485</v>
      </c>
      <c r="I36" s="62">
        <v>9400.5768472505133</v>
      </c>
      <c r="J36" s="63">
        <v>121934.48859243171</v>
      </c>
      <c r="K36" s="62">
        <v>18975.685695182012</v>
      </c>
      <c r="M36" s="63">
        <f t="shared" si="1"/>
        <v>247923.23894000147</v>
      </c>
      <c r="N36" s="62">
        <f t="shared" si="2"/>
        <v>29086.935347612249</v>
      </c>
    </row>
    <row r="37" spans="2:14">
      <c r="B37" s="56">
        <v>44986</v>
      </c>
      <c r="F37" s="63">
        <f t="shared" si="3"/>
        <v>35565.66842286352</v>
      </c>
      <c r="G37" s="62">
        <v>534.33157713648006</v>
      </c>
      <c r="H37" s="63">
        <f t="shared" si="4"/>
        <v>91347.54506635564</v>
      </c>
      <c r="I37" s="62">
        <v>8652.4549336443524</v>
      </c>
      <c r="J37" s="63">
        <v>122544.16103539386</v>
      </c>
      <c r="K37" s="62">
        <v>18366.013252219851</v>
      </c>
      <c r="M37" s="63">
        <f t="shared" si="1"/>
        <v>249457.37452461303</v>
      </c>
      <c r="N37" s="62">
        <f t="shared" si="2"/>
        <v>27552.799763000683</v>
      </c>
    </row>
    <row r="38" spans="2:14">
      <c r="B38" s="56">
        <v>45017</v>
      </c>
      <c r="F38" s="63">
        <f t="shared" si="3"/>
        <v>35742.891357046981</v>
      </c>
      <c r="G38" s="62">
        <v>357.1086429530223</v>
      </c>
      <c r="H38" s="63">
        <f t="shared" si="4"/>
        <v>92101.901329241853</v>
      </c>
      <c r="I38" s="62">
        <v>7898.0986707581405</v>
      </c>
      <c r="J38" s="63">
        <v>123156.88184057086</v>
      </c>
      <c r="K38" s="62">
        <v>17753.292447042881</v>
      </c>
      <c r="M38" s="63">
        <f t="shared" si="1"/>
        <v>251001.67452685969</v>
      </c>
      <c r="N38" s="62">
        <f t="shared" si="2"/>
        <v>26008.499760754043</v>
      </c>
    </row>
    <row r="39" spans="2:14">
      <c r="B39" s="56">
        <v>45047</v>
      </c>
      <c r="F39" s="63">
        <f t="shared" si="3"/>
        <v>35921.000405901352</v>
      </c>
      <c r="G39" s="62">
        <v>178.99959409864707</v>
      </c>
      <c r="H39" s="63">
        <f t="shared" si="4"/>
        <v>92862.543894318791</v>
      </c>
      <c r="I39" s="62">
        <v>7137.4561056812099</v>
      </c>
      <c r="J39" s="63">
        <v>123772.66624977371</v>
      </c>
      <c r="K39" s="62">
        <v>17137.508037840027</v>
      </c>
      <c r="M39" s="63">
        <f t="shared" si="1"/>
        <v>252556.21054999385</v>
      </c>
      <c r="N39" s="62">
        <f t="shared" si="2"/>
        <v>24453.963737619884</v>
      </c>
    </row>
    <row r="40" spans="2:14">
      <c r="B40" s="56">
        <v>45078</v>
      </c>
      <c r="F40" s="63"/>
      <c r="G40" s="62"/>
      <c r="H40" s="63">
        <f t="shared" si="4"/>
        <v>93629.525147438035</v>
      </c>
      <c r="I40" s="62">
        <v>6370.4748525619716</v>
      </c>
      <c r="J40" s="63">
        <v>124391.52958102255</v>
      </c>
      <c r="K40" s="62">
        <v>16518.64470659116</v>
      </c>
      <c r="M40" s="63">
        <f t="shared" si="1"/>
        <v>218021.05472846059</v>
      </c>
      <c r="N40" s="62">
        <f t="shared" si="2"/>
        <v>22889.119559153132</v>
      </c>
    </row>
    <row r="41" spans="2:14">
      <c r="B41" s="55">
        <v>45108</v>
      </c>
      <c r="H41" s="62">
        <f t="shared" si="4"/>
        <v>94402.89791099992</v>
      </c>
      <c r="I41" s="64">
        <v>5597.1020890000727</v>
      </c>
      <c r="J41" s="62">
        <v>125013.48722892767</v>
      </c>
      <c r="K41" s="64">
        <v>15896.687058686046</v>
      </c>
      <c r="M41" s="62">
        <f t="shared" si="1"/>
        <v>219416.38513992759</v>
      </c>
      <c r="N41" s="64">
        <f t="shared" si="2"/>
        <v>21493.789147686119</v>
      </c>
    </row>
    <row r="42" spans="2:14">
      <c r="B42" s="55">
        <v>45139</v>
      </c>
      <c r="H42" s="62">
        <f t="shared" si="4"/>
        <v>95182.715447591501</v>
      </c>
      <c r="I42" s="64">
        <v>4817.2845524084914</v>
      </c>
      <c r="J42" s="62">
        <v>125638.55466507234</v>
      </c>
      <c r="K42" s="64">
        <v>15271.619622541408</v>
      </c>
      <c r="M42" s="62">
        <f t="shared" si="1"/>
        <v>220821.27011266386</v>
      </c>
      <c r="N42" s="64">
        <f t="shared" si="2"/>
        <v>20088.904174949901</v>
      </c>
    </row>
    <row r="43" spans="2:14">
      <c r="B43" s="55">
        <v>45170</v>
      </c>
      <c r="H43" s="62">
        <f t="shared" si="4"/>
        <v>95969.031463654683</v>
      </c>
      <c r="I43" s="64">
        <v>4030.9685363453132</v>
      </c>
      <c r="J43" s="62">
        <v>126266.74743839767</v>
      </c>
      <c r="K43" s="64">
        <v>14643.426849216046</v>
      </c>
      <c r="M43" s="62">
        <f t="shared" si="1"/>
        <v>222235.77890205235</v>
      </c>
      <c r="N43" s="64">
        <f t="shared" si="2"/>
        <v>18674.395385561358</v>
      </c>
    </row>
    <row r="44" spans="2:14">
      <c r="B44" s="55">
        <v>45200</v>
      </c>
      <c r="H44" s="62">
        <f t="shared" si="4"/>
        <v>96761.900113185053</v>
      </c>
      <c r="I44" s="64">
        <v>3238.0998868149422</v>
      </c>
      <c r="J44" s="62">
        <v>126898.08117558966</v>
      </c>
      <c r="K44" s="64">
        <v>14012.093112024057</v>
      </c>
      <c r="M44" s="62">
        <f t="shared" si="1"/>
        <v>223659.9812887747</v>
      </c>
      <c r="N44" s="64">
        <f t="shared" si="2"/>
        <v>17250.192998839</v>
      </c>
    </row>
    <row r="45" spans="2:14">
      <c r="B45" s="55">
        <v>45231</v>
      </c>
      <c r="H45" s="62">
        <f t="shared" si="4"/>
        <v>97561.376001461511</v>
      </c>
      <c r="I45" s="64">
        <v>2438.623998538485</v>
      </c>
      <c r="J45" s="62">
        <v>127532.57158146764</v>
      </c>
      <c r="K45" s="64">
        <v>13377.602706146108</v>
      </c>
      <c r="M45" s="62">
        <f t="shared" si="1"/>
        <v>225093.94758292916</v>
      </c>
      <c r="N45" s="64">
        <f t="shared" si="2"/>
        <v>15816.226704684594</v>
      </c>
    </row>
    <row r="46" spans="2:14">
      <c r="B46" s="55">
        <v>45261</v>
      </c>
      <c r="H46" s="62">
        <f t="shared" si="4"/>
        <v>98367.514188806948</v>
      </c>
      <c r="I46" s="64">
        <v>1632.4858111930571</v>
      </c>
      <c r="J46" s="62">
        <v>128170.23443937497</v>
      </c>
      <c r="K46" s="64">
        <v>12739.939848238771</v>
      </c>
      <c r="M46" s="62">
        <f t="shared" si="1"/>
        <v>226537.74862818193</v>
      </c>
      <c r="N46" s="64">
        <f t="shared" si="2"/>
        <v>14372.425659431829</v>
      </c>
    </row>
    <row r="47" spans="2:14">
      <c r="B47" s="55">
        <v>45292</v>
      </c>
      <c r="H47" s="62">
        <f t="shared" si="4"/>
        <v>99180.370194380244</v>
      </c>
      <c r="I47" s="64">
        <v>819.62980561975053</v>
      </c>
      <c r="J47" s="62">
        <v>128811.08561157185</v>
      </c>
      <c r="K47" s="64">
        <v>12099.088676041896</v>
      </c>
      <c r="M47" s="62">
        <f t="shared" si="1"/>
        <v>227991.45580595208</v>
      </c>
      <c r="N47" s="64">
        <f t="shared" si="2"/>
        <v>12918.718481661646</v>
      </c>
    </row>
    <row r="48" spans="2:14">
      <c r="B48" s="55">
        <v>45323</v>
      </c>
      <c r="H48" s="62">
        <f t="shared" si="4"/>
        <v>83333.333333333328</v>
      </c>
      <c r="I48" s="64">
        <f t="shared" ref="I48" si="5">600000/36</f>
        <v>16666.666666666668</v>
      </c>
      <c r="J48" s="62">
        <v>129455.14103962973</v>
      </c>
      <c r="K48" s="64">
        <v>11455.033247984036</v>
      </c>
      <c r="M48" s="62">
        <f t="shared" si="1"/>
        <v>212788.47437296307</v>
      </c>
      <c r="N48" s="64">
        <f t="shared" si="2"/>
        <v>28121.699914650704</v>
      </c>
    </row>
    <row r="49" spans="2:14">
      <c r="B49" s="55">
        <v>45352</v>
      </c>
      <c r="H49" s="62"/>
      <c r="I49" s="64"/>
      <c r="J49" s="62">
        <v>130102.41674482786</v>
      </c>
      <c r="K49" s="64">
        <v>10807.757542785888</v>
      </c>
      <c r="M49" s="62">
        <f t="shared" si="1"/>
        <v>130102.41674482786</v>
      </c>
      <c r="N49" s="64">
        <f t="shared" si="2"/>
        <v>10807.757542785888</v>
      </c>
    </row>
    <row r="50" spans="2:14">
      <c r="B50" s="55">
        <v>45383</v>
      </c>
      <c r="H50" s="62"/>
      <c r="I50" s="64"/>
      <c r="J50" s="62">
        <v>130752.92882855199</v>
      </c>
      <c r="K50" s="64">
        <v>10157.245459061749</v>
      </c>
      <c r="M50" s="62">
        <f t="shared" si="1"/>
        <v>130752.92882855199</v>
      </c>
      <c r="N50" s="64">
        <f t="shared" si="2"/>
        <v>10157.245459061749</v>
      </c>
    </row>
    <row r="51" spans="2:14">
      <c r="B51" s="55">
        <v>45413</v>
      </c>
      <c r="H51" s="62"/>
      <c r="I51" s="64"/>
      <c r="J51" s="62">
        <v>131406.69347269478</v>
      </c>
      <c r="K51" s="64">
        <v>9503.4808149189903</v>
      </c>
      <c r="M51" s="62">
        <f t="shared" si="1"/>
        <v>131406.69347269478</v>
      </c>
      <c r="N51" s="64">
        <f t="shared" si="2"/>
        <v>9503.4808149189903</v>
      </c>
    </row>
    <row r="52" spans="2:14">
      <c r="B52" s="55">
        <v>45444</v>
      </c>
      <c r="H52" s="62"/>
      <c r="I52" s="64"/>
      <c r="J52" s="62">
        <v>132063.72694005823</v>
      </c>
      <c r="K52" s="64">
        <v>8846.4473475555151</v>
      </c>
      <c r="M52" s="62">
        <f t="shared" si="1"/>
        <v>132063.72694005823</v>
      </c>
      <c r="N52" s="64">
        <f t="shared" si="2"/>
        <v>8846.4473475555151</v>
      </c>
    </row>
    <row r="53" spans="2:14">
      <c r="B53" s="57">
        <v>45474</v>
      </c>
      <c r="J53" s="64">
        <v>132724.04557475852</v>
      </c>
      <c r="K53" s="62">
        <v>8186.1287128552249</v>
      </c>
      <c r="M53" s="64">
        <f t="shared" si="1"/>
        <v>132724.04557475852</v>
      </c>
      <c r="N53" s="62">
        <f t="shared" si="2"/>
        <v>8186.1287128552249</v>
      </c>
    </row>
    <row r="54" spans="2:14">
      <c r="B54" s="57">
        <v>45505</v>
      </c>
      <c r="J54" s="64">
        <v>133387.66580263234</v>
      </c>
      <c r="K54" s="62">
        <v>7522.508484981433</v>
      </c>
      <c r="M54" s="64">
        <f t="shared" si="1"/>
        <v>133387.66580263234</v>
      </c>
      <c r="N54" s="62">
        <f t="shared" si="2"/>
        <v>7522.508484981433</v>
      </c>
    </row>
    <row r="55" spans="2:14">
      <c r="B55" s="57">
        <v>45536</v>
      </c>
      <c r="J55" s="64">
        <v>134054.60413164546</v>
      </c>
      <c r="K55" s="62">
        <v>6855.5701559682702</v>
      </c>
      <c r="M55" s="64">
        <f t="shared" si="1"/>
        <v>134054.60413164546</v>
      </c>
      <c r="N55" s="62">
        <f t="shared" si="2"/>
        <v>6855.5701559682702</v>
      </c>
    </row>
    <row r="56" spans="2:14">
      <c r="B56" s="57">
        <v>45566</v>
      </c>
      <c r="J56" s="64">
        <v>134724.8771523037</v>
      </c>
      <c r="K56" s="62">
        <v>6185.2971353100429</v>
      </c>
      <c r="M56" s="64">
        <f t="shared" si="1"/>
        <v>134724.8771523037</v>
      </c>
      <c r="N56" s="62">
        <f t="shared" si="2"/>
        <v>6185.2971353100429</v>
      </c>
    </row>
    <row r="57" spans="2:14">
      <c r="B57" s="57">
        <v>45597</v>
      </c>
      <c r="J57" s="64">
        <v>135398.50153806523</v>
      </c>
      <c r="K57" s="62">
        <v>5511.6727495485238</v>
      </c>
      <c r="M57" s="64">
        <f t="shared" si="1"/>
        <v>135398.50153806523</v>
      </c>
      <c r="N57" s="62">
        <f t="shared" si="2"/>
        <v>5511.6727495485238</v>
      </c>
    </row>
    <row r="58" spans="2:14">
      <c r="B58" s="57">
        <v>45627</v>
      </c>
      <c r="J58" s="64">
        <v>136075.49404575556</v>
      </c>
      <c r="K58" s="62">
        <v>4834.6802418581974</v>
      </c>
      <c r="M58" s="64">
        <f t="shared" si="1"/>
        <v>136075.49404575556</v>
      </c>
      <c r="N58" s="62">
        <f t="shared" si="2"/>
        <v>4834.6802418581974</v>
      </c>
    </row>
    <row r="59" spans="2:14">
      <c r="B59" s="57">
        <v>45658</v>
      </c>
      <c r="J59" s="64">
        <v>136755.87151598433</v>
      </c>
      <c r="K59" s="62">
        <v>4154.30277162942</v>
      </c>
      <c r="M59" s="64">
        <f t="shared" si="1"/>
        <v>136755.87151598433</v>
      </c>
      <c r="N59" s="62">
        <f t="shared" si="2"/>
        <v>4154.30277162942</v>
      </c>
    </row>
    <row r="60" spans="2:14">
      <c r="B60" s="57">
        <v>45689</v>
      </c>
      <c r="J60" s="64">
        <v>137439.65087356427</v>
      </c>
      <c r="K60" s="62">
        <v>3470.5234140494981</v>
      </c>
      <c r="M60" s="64">
        <f t="shared" si="1"/>
        <v>137439.65087356427</v>
      </c>
      <c r="N60" s="62">
        <f t="shared" si="2"/>
        <v>3470.5234140494981</v>
      </c>
    </row>
    <row r="61" spans="2:14">
      <c r="B61" s="57">
        <v>45717</v>
      </c>
      <c r="J61" s="64">
        <v>138126.8491279321</v>
      </c>
      <c r="K61" s="62">
        <v>2783.3251596816767</v>
      </c>
      <c r="M61" s="64">
        <f t="shared" si="1"/>
        <v>138126.8491279321</v>
      </c>
      <c r="N61" s="62">
        <f t="shared" si="2"/>
        <v>2783.3251596816767</v>
      </c>
    </row>
    <row r="62" spans="2:14">
      <c r="B62" s="57">
        <v>45748</v>
      </c>
      <c r="J62" s="64">
        <v>138817.48337357177</v>
      </c>
      <c r="K62" s="62">
        <v>2092.6909140420162</v>
      </c>
      <c r="M62" s="64">
        <f t="shared" si="1"/>
        <v>138817.48337357177</v>
      </c>
      <c r="N62" s="62">
        <f t="shared" si="2"/>
        <v>2092.6909140420162</v>
      </c>
    </row>
    <row r="63" spans="2:14">
      <c r="B63" s="57">
        <v>45778</v>
      </c>
      <c r="J63" s="64">
        <v>139511.57079043961</v>
      </c>
      <c r="K63" s="62">
        <v>1398.6034971741574</v>
      </c>
      <c r="M63" s="64">
        <f t="shared" si="1"/>
        <v>139511.57079043961</v>
      </c>
      <c r="N63" s="62">
        <f t="shared" si="2"/>
        <v>1398.6034971741574</v>
      </c>
    </row>
    <row r="64" spans="2:14">
      <c r="B64" s="57">
        <v>45809</v>
      </c>
      <c r="J64" s="64">
        <v>140209.12864439187</v>
      </c>
      <c r="K64" s="62">
        <v>701.04564322195938</v>
      </c>
      <c r="M64" s="64">
        <f t="shared" ref="M64" si="6">+D64+F64+H64+J64</f>
        <v>140209.12864439187</v>
      </c>
      <c r="N64" s="62">
        <f t="shared" ref="N64" si="7">E64+G64+I64+K64</f>
        <v>701.04564322195938</v>
      </c>
    </row>
    <row r="66" spans="13:14">
      <c r="M66" s="59">
        <f>SUM(M17:M65)</f>
        <v>9634922.7146448605</v>
      </c>
      <c r="N66" s="59">
        <f>SUM(N17:N65)</f>
        <v>1203265.6511605943</v>
      </c>
    </row>
  </sheetData>
  <mergeCells count="1"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topLeftCell="A13" workbookViewId="0"/>
  </sheetViews>
  <sheetFormatPr defaultRowHeight="14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Dell-PC</dc:creator>
  <cp:keywords/>
  <dc:description/>
  <cp:lastModifiedBy/>
  <cp:revision/>
  <dcterms:created xsi:type="dcterms:W3CDTF">2021-06-22T07:43:04Z</dcterms:created>
  <dcterms:modified xsi:type="dcterms:W3CDTF">2022-06-07T05:41:20Z</dcterms:modified>
  <cp:category/>
  <cp:contentStatus/>
</cp:coreProperties>
</file>